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A88788FD-52F4-4FA4-BECC-AC709CCB3CEC}" xr6:coauthVersionLast="47" xr6:coauthVersionMax="47" xr10:uidLastSave="{00000000-0000-0000-0000-000000000000}"/>
  <bookViews>
    <workbookView xWindow="1152" yWindow="1152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Stat99!$C$1:$W$109</definedName>
    <definedName name="_xlchart.v1.0" hidden="1">'robustZ-score'!$I$1</definedName>
    <definedName name="_xlchart.v1.1" hidden="1">'robustZ-score'!$I$2:$I$213</definedName>
    <definedName name="_xlchart.v1.10" hidden="1">'robustZ-score'!$N$1</definedName>
    <definedName name="_xlchart.v1.11" hidden="1">'robustZ-score'!$N$2:$N$213</definedName>
    <definedName name="_xlchart.v1.12" hidden="1">'robustZ-score'!$O$1</definedName>
    <definedName name="_xlchart.v1.13" hidden="1">'robustZ-score'!$O$2:$O$213</definedName>
    <definedName name="_xlchart.v1.14" hidden="1">'robustZ-score'!$P$1</definedName>
    <definedName name="_xlchart.v1.15" hidden="1">'robustZ-score'!$P$2:$P$213</definedName>
    <definedName name="_xlchart.v1.16" hidden="1">'robustZ-score'!$Q$1</definedName>
    <definedName name="_xlchart.v1.17" hidden="1">'robustZ-score'!$Q$2:$Q$213</definedName>
    <definedName name="_xlchart.v1.18" hidden="1">'robustZ-score'!$R$1</definedName>
    <definedName name="_xlchart.v1.19" hidden="1">'robustZ-score'!$R$2:$R$213</definedName>
    <definedName name="_xlchart.v1.2" hidden="1">'robustZ-score'!$J$1</definedName>
    <definedName name="_xlchart.v1.20" hidden="1">'rZs_WS'!$I$1</definedName>
    <definedName name="_xlchart.v1.21" hidden="1">'rZs_WS'!$I$2:$I$96</definedName>
    <definedName name="_xlchart.v1.22" hidden="1">'rZs_WS'!$J$1</definedName>
    <definedName name="_xlchart.v1.23" hidden="1">'rZs_WS'!$J$2:$J$96</definedName>
    <definedName name="_xlchart.v1.24" hidden="1">'rZs_WS'!$K$1</definedName>
    <definedName name="_xlchart.v1.25" hidden="1">'rZs_WS'!$K$2:$K$96</definedName>
    <definedName name="_xlchart.v1.26" hidden="1">'rZs_WS'!$L$1</definedName>
    <definedName name="_xlchart.v1.27" hidden="1">'rZs_WS'!$L$2:$L$96</definedName>
    <definedName name="_xlchart.v1.28" hidden="1">'rZs_WS'!$M$1</definedName>
    <definedName name="_xlchart.v1.29" hidden="1">'rZs_WS'!$M$2:$M$96</definedName>
    <definedName name="_xlchart.v1.3" hidden="1">'robustZ-score'!$J$2:$J$213</definedName>
    <definedName name="_xlchart.v1.30" hidden="1">'rZs_WS'!$N$1</definedName>
    <definedName name="_xlchart.v1.31" hidden="1">'rZs_WS'!$N$2:$N$96</definedName>
    <definedName name="_xlchart.v1.32" hidden="1">'rZs_WS'!$O$1</definedName>
    <definedName name="_xlchart.v1.33" hidden="1">'rZs_WS'!$O$2:$O$96</definedName>
    <definedName name="_xlchart.v1.34" hidden="1">'rZs_WS'!$P$1</definedName>
    <definedName name="_xlchart.v1.35" hidden="1">'rZs_WS'!$P$2:$P$96</definedName>
    <definedName name="_xlchart.v1.36" hidden="1">'rZs_WS'!$Q$1</definedName>
    <definedName name="_xlchart.v1.37" hidden="1">'rZs_WS'!$Q$2:$Q$96</definedName>
    <definedName name="_xlchart.v1.38" hidden="1">'rZs_WS'!$R$1</definedName>
    <definedName name="_xlchart.v1.39" hidden="1">'rZs_WS'!$R$2:$R$96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'robustZ-score'!$K$2:$K$213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'rZs_S'!$I$2:$I$44</definedName>
    <definedName name="_xlchart.v1.62" hidden="1">'rZs_S'!$J$1</definedName>
    <definedName name="_xlchart.v1.63" hidden="1">'rZs_S'!$J$2:$J$44</definedName>
    <definedName name="_xlchart.v1.64" hidden="1">'rZs_S'!$K$1</definedName>
    <definedName name="_xlchart.v1.65" hidden="1">'rZs_S'!$K$2:$K$44</definedName>
    <definedName name="_xlchart.v1.66" hidden="1">'rZs_S'!$L$1</definedName>
    <definedName name="_xlchart.v1.67" hidden="1">'rZs_S'!$L$2:$L$44</definedName>
    <definedName name="_xlchart.v1.68" hidden="1">'rZs_S'!$M$1</definedName>
    <definedName name="_xlchart.v1.69" hidden="1">'rZs_S'!$M$2:$M$44</definedName>
    <definedName name="_xlchart.v1.7" hidden="1">'robustZ-score'!$L$2:$L$213</definedName>
    <definedName name="_xlchart.v1.70" hidden="1">'rZs_S'!$N$1</definedName>
    <definedName name="_xlchart.v1.71" hidden="1">'rZs_S'!$N$2:$N$44</definedName>
    <definedName name="_xlchart.v1.72" hidden="1">'rZs_S'!$O$1</definedName>
    <definedName name="_xlchart.v1.73" hidden="1">'rZs_S'!$O$2:$O$44</definedName>
    <definedName name="_xlchart.v1.74" hidden="1">'rZs_S'!$P$1</definedName>
    <definedName name="_xlchart.v1.75" hidden="1">'rZs_S'!$P$2:$P$44</definedName>
    <definedName name="_xlchart.v1.76" hidden="1">'rZs_S'!$Q$1</definedName>
    <definedName name="_xlchart.v1.77" hidden="1">'rZs_S'!$Q$2:$Q$44</definedName>
    <definedName name="_xlchart.v1.78" hidden="1">'rZs_S'!$R$1</definedName>
    <definedName name="_xlchart.v1.79" hidden="1">'rZs_S'!$R$2:$R$44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'robustZ-score'!$M$2:$M$213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Q_Stat!$A$1:$AE$213</definedName>
    <definedName name="ExternalData_1" localSheetId="13" hidden="1">Q_WS!$A$1:$AA$95</definedName>
    <definedName name="ExternalData_2" localSheetId="15" hidden="1">Q_S!$A$1:$AA$44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7" i="18" l="1"/>
  <c r="B288" i="18" s="1"/>
  <c r="B289" i="18" s="1"/>
  <c r="B290" i="18"/>
  <c r="B291" i="18" s="1"/>
  <c r="B292" i="18"/>
  <c r="B293" i="18" s="1"/>
  <c r="B294" i="18"/>
  <c r="B295" i="18" s="1"/>
  <c r="B296" i="18" s="1"/>
  <c r="B297" i="18"/>
  <c r="B298" i="18"/>
  <c r="B299" i="18"/>
  <c r="B300" i="18"/>
  <c r="B301" i="18"/>
  <c r="B302" i="18"/>
  <c r="B303" i="18"/>
  <c r="B304" i="18" s="1"/>
  <c r="B305" i="18"/>
  <c r="B306" i="18"/>
  <c r="B307" i="18"/>
  <c r="B308" i="18" s="1"/>
  <c r="B309" i="18"/>
  <c r="B310" i="18"/>
  <c r="B311" i="18"/>
  <c r="B312" i="18"/>
  <c r="B313" i="18" s="1"/>
  <c r="B314" i="18"/>
  <c r="B315" i="18"/>
  <c r="B316" i="18"/>
  <c r="B317" i="18"/>
  <c r="B318" i="18" s="1"/>
  <c r="B319" i="18"/>
  <c r="B320" i="18" s="1"/>
  <c r="B321" i="18" s="1"/>
  <c r="B322" i="18"/>
  <c r="B323" i="18" s="1"/>
  <c r="B324" i="18"/>
  <c r="B325" i="18" s="1"/>
  <c r="B326" i="18" s="1"/>
  <c r="B327" i="18"/>
  <c r="B328" i="18"/>
  <c r="B329" i="18" s="1"/>
  <c r="B330" i="18"/>
  <c r="B331" i="18" s="1"/>
  <c r="B332" i="18"/>
  <c r="B333" i="18"/>
  <c r="B334" i="18"/>
  <c r="B335" i="18"/>
  <c r="B336" i="18" s="1"/>
  <c r="B337" i="18"/>
  <c r="B338" i="18"/>
  <c r="B339" i="18"/>
  <c r="B340" i="18"/>
  <c r="B341" i="18" s="1"/>
  <c r="B342" i="18"/>
  <c r="B343" i="18" s="1"/>
  <c r="B344" i="18"/>
  <c r="B345" i="18"/>
  <c r="B346" i="18"/>
  <c r="B347" i="18" s="1"/>
  <c r="B348" i="18"/>
  <c r="B349" i="18"/>
  <c r="B350" i="18"/>
  <c r="B656" i="17"/>
  <c r="B657" i="17" s="1"/>
  <c r="B658" i="17" s="1"/>
  <c r="B659" i="17"/>
  <c r="B660" i="17" s="1"/>
  <c r="B661" i="17" s="1"/>
  <c r="B662" i="17"/>
  <c r="B663" i="17" s="1"/>
  <c r="B664" i="17" s="1"/>
  <c r="B665" i="17"/>
  <c r="B666" i="17" s="1"/>
  <c r="B667" i="17" s="1"/>
  <c r="B668" i="17"/>
  <c r="B669" i="17" s="1"/>
  <c r="B670" i="17" s="1"/>
  <c r="B671" i="17"/>
  <c r="B672" i="17" s="1"/>
  <c r="B673" i="17" s="1"/>
  <c r="B674" i="17" s="1"/>
  <c r="B675" i="17"/>
  <c r="B676" i="17"/>
  <c r="B677" i="17" s="1"/>
  <c r="B678" i="17" s="1"/>
  <c r="B679" i="17"/>
  <c r="B680" i="17" s="1"/>
  <c r="B681" i="17" s="1"/>
  <c r="B682" i="17"/>
  <c r="B683" i="17"/>
  <c r="B684" i="17" s="1"/>
  <c r="B685" i="17" s="1"/>
  <c r="B686" i="17" s="1"/>
  <c r="B687" i="17" s="1"/>
  <c r="B688" i="17" s="1"/>
  <c r="B689" i="17" s="1"/>
  <c r="B690" i="17"/>
  <c r="B691" i="17"/>
  <c r="B692" i="17" s="1"/>
  <c r="B693" i="17" s="1"/>
  <c r="B694" i="17" s="1"/>
  <c r="B695" i="17" s="1"/>
  <c r="B696" i="17" s="1"/>
  <c r="B697" i="17" s="1"/>
  <c r="B698" i="17"/>
  <c r="B699" i="17" s="1"/>
  <c r="B700" i="17" s="1"/>
  <c r="B701" i="17"/>
  <c r="B702" i="17" s="1"/>
  <c r="B703" i="17" s="1"/>
  <c r="B704" i="17"/>
  <c r="B705" i="17" s="1"/>
  <c r="B706" i="17" s="1"/>
  <c r="B707" i="17"/>
  <c r="B708" i="17" s="1"/>
  <c r="B709" i="17" s="1"/>
  <c r="B710" i="17" s="1"/>
  <c r="B711" i="17"/>
  <c r="B712" i="17"/>
  <c r="B713" i="17" s="1"/>
  <c r="B714" i="17" s="1"/>
  <c r="B715" i="17"/>
  <c r="B716" i="17" s="1"/>
  <c r="B717" i="17" s="1"/>
  <c r="B718" i="17" s="1"/>
  <c r="B719" i="17" s="1"/>
  <c r="B720" i="17" s="1"/>
  <c r="B721" i="17" s="1"/>
  <c r="B722" i="17"/>
  <c r="B723" i="17" s="1"/>
  <c r="B724" i="17" s="1"/>
  <c r="B725" i="17"/>
  <c r="B726" i="17"/>
  <c r="B727" i="17"/>
  <c r="B728" i="17" s="1"/>
  <c r="B729" i="17"/>
  <c r="B730" i="17"/>
  <c r="B731" i="17" s="1"/>
  <c r="B732" i="17" s="1"/>
  <c r="B733" i="17"/>
  <c r="B734" i="17"/>
  <c r="B735" i="17" s="1"/>
  <c r="B736" i="17" s="1"/>
  <c r="B737" i="17"/>
  <c r="B738" i="17" s="1"/>
  <c r="B739" i="17" s="1"/>
  <c r="B740" i="17"/>
  <c r="B741" i="17"/>
  <c r="B742" i="17"/>
  <c r="B743" i="17"/>
  <c r="B744" i="17" s="1"/>
  <c r="B745" i="17" s="1"/>
  <c r="B746" i="17"/>
  <c r="B747" i="17" s="1"/>
  <c r="B748" i="17" s="1"/>
  <c r="B749" i="17" s="1"/>
  <c r="B750" i="17" s="1"/>
  <c r="B751" i="17" s="1"/>
  <c r="B752" i="17"/>
  <c r="B753" i="17"/>
  <c r="B754" i="17"/>
  <c r="B755" i="17" s="1"/>
  <c r="B756" i="17" s="1"/>
  <c r="B757" i="17" s="1"/>
  <c r="B758" i="17"/>
  <c r="B759" i="17" s="1"/>
  <c r="B760" i="17" s="1"/>
  <c r="B761" i="17"/>
  <c r="B762" i="17" s="1"/>
  <c r="B763" i="17" s="1"/>
  <c r="B764" i="17"/>
  <c r="B765" i="17"/>
  <c r="B766" i="17"/>
  <c r="B767" i="17" s="1"/>
  <c r="B768" i="17"/>
  <c r="B769" i="17"/>
  <c r="B770" i="17"/>
  <c r="B771" i="17"/>
  <c r="B772" i="17"/>
  <c r="B773" i="17" s="1"/>
  <c r="B774" i="17" s="1"/>
  <c r="B775" i="17"/>
  <c r="B776" i="17" s="1"/>
  <c r="B777" i="17"/>
  <c r="B778" i="17"/>
  <c r="B779" i="17"/>
  <c r="B780" i="17" s="1"/>
  <c r="B781" i="17" s="1"/>
  <c r="B782" i="17" s="1"/>
  <c r="B783" i="17"/>
  <c r="B784" i="17"/>
  <c r="B785" i="17" s="1"/>
  <c r="B786" i="17" s="1"/>
  <c r="B787" i="17"/>
  <c r="B788" i="17" s="1"/>
  <c r="B789" i="17" s="1"/>
  <c r="B790" i="17"/>
  <c r="B791" i="17" s="1"/>
  <c r="B792" i="17" s="1"/>
  <c r="B793" i="17" s="1"/>
  <c r="B794" i="17" s="1"/>
  <c r="B795" i="17" s="1"/>
  <c r="B796" i="17"/>
  <c r="B676" i="16"/>
  <c r="B677" i="16" s="1"/>
  <c r="B678" i="16"/>
  <c r="B679" i="16" s="1"/>
  <c r="B680" i="16" s="1"/>
  <c r="B681" i="16" s="1"/>
  <c r="B682" i="16" s="1"/>
  <c r="B683" i="16" s="1"/>
  <c r="B684" i="16" s="1"/>
  <c r="B685" i="16" s="1"/>
  <c r="B686" i="16" s="1"/>
  <c r="B687" i="16"/>
  <c r="B688" i="16" s="1"/>
  <c r="B689" i="16" s="1"/>
  <c r="B690" i="16" s="1"/>
  <c r="B691" i="16" s="1"/>
  <c r="B692" i="16" s="1"/>
  <c r="B693" i="16" s="1"/>
  <c r="B694" i="16" s="1"/>
  <c r="B695" i="16" s="1"/>
  <c r="B696" i="16"/>
  <c r="B697" i="16" s="1"/>
  <c r="B698" i="16" s="1"/>
  <c r="B699" i="16" s="1"/>
  <c r="B700" i="16" s="1"/>
  <c r="B701" i="16" s="1"/>
  <c r="B702" i="16" s="1"/>
  <c r="B703" i="16" s="1"/>
  <c r="B704" i="16" s="1"/>
  <c r="B705" i="16"/>
  <c r="B706" i="16" s="1"/>
  <c r="B707" i="16" s="1"/>
  <c r="B708" i="16" s="1"/>
  <c r="B709" i="16" s="1"/>
  <c r="B710" i="16" s="1"/>
  <c r="B711" i="16" s="1"/>
  <c r="B712" i="16" s="1"/>
  <c r="B713" i="16" s="1"/>
  <c r="B714" i="16"/>
  <c r="B715" i="16" s="1"/>
  <c r="B716" i="16" s="1"/>
  <c r="B717" i="16" s="1"/>
  <c r="B718" i="16"/>
  <c r="B719" i="16" s="1"/>
  <c r="B720" i="16" s="1"/>
  <c r="B721" i="16" s="1"/>
  <c r="B722" i="16" s="1"/>
  <c r="B723" i="16"/>
  <c r="B724" i="16" s="1"/>
  <c r="B725" i="16" s="1"/>
  <c r="B726" i="16" s="1"/>
  <c r="B727" i="16" s="1"/>
  <c r="B728" i="16"/>
  <c r="B729" i="16"/>
  <c r="B730" i="16"/>
  <c r="B731" i="16"/>
  <c r="B732" i="16" s="1"/>
  <c r="B733" i="16" s="1"/>
  <c r="B734" i="16"/>
  <c r="B735" i="16"/>
  <c r="B736" i="16"/>
  <c r="B737" i="16" s="1"/>
  <c r="B738" i="16"/>
  <c r="B739" i="16" s="1"/>
  <c r="B740" i="16"/>
  <c r="B741" i="16"/>
  <c r="B742" i="16"/>
  <c r="B743" i="16" s="1"/>
  <c r="B744" i="16" s="1"/>
  <c r="B745" i="16"/>
  <c r="B746" i="16" s="1"/>
  <c r="B747" i="16"/>
  <c r="B748" i="16" s="1"/>
  <c r="B749" i="16"/>
  <c r="B750" i="16"/>
  <c r="B751" i="16" s="1"/>
  <c r="B752" i="16" s="1"/>
  <c r="B753" i="16" s="1"/>
  <c r="B754" i="16" s="1"/>
  <c r="B755" i="16" s="1"/>
  <c r="B756" i="16"/>
  <c r="B757" i="16"/>
  <c r="B758" i="16" s="1"/>
  <c r="B759" i="16" s="1"/>
  <c r="B760" i="16" s="1"/>
  <c r="B761" i="16"/>
  <c r="B762" i="16"/>
  <c r="B763" i="16" s="1"/>
  <c r="B764" i="16" s="1"/>
  <c r="B765" i="16" s="1"/>
  <c r="B766" i="16" s="1"/>
  <c r="B767" i="16" s="1"/>
  <c r="B768" i="16"/>
  <c r="B769" i="16"/>
  <c r="B770" i="16" s="1"/>
  <c r="B771" i="16" s="1"/>
  <c r="B772" i="16" s="1"/>
  <c r="B773" i="16" s="1"/>
  <c r="B774" i="16" s="1"/>
  <c r="B775" i="16"/>
  <c r="B776" i="16" s="1"/>
  <c r="B777" i="16" s="1"/>
  <c r="B778" i="16" s="1"/>
  <c r="B779" i="16" s="1"/>
  <c r="B780" i="16" s="1"/>
  <c r="B781" i="16" s="1"/>
  <c r="B782" i="16"/>
  <c r="B783" i="16"/>
  <c r="B784" i="16" s="1"/>
  <c r="B785" i="16" s="1"/>
  <c r="B786" i="16" s="1"/>
  <c r="B787" i="16" s="1"/>
  <c r="B788" i="16"/>
  <c r="B789" i="16"/>
  <c r="B790" i="16"/>
  <c r="B791" i="16"/>
  <c r="B792" i="16" s="1"/>
  <c r="B793" i="16" s="1"/>
  <c r="B794" i="16"/>
  <c r="B795" i="16"/>
  <c r="B796" i="16" s="1"/>
  <c r="B797" i="16" s="1"/>
  <c r="B798" i="16" s="1"/>
  <c r="B799" i="16" s="1"/>
  <c r="B800" i="16" s="1"/>
  <c r="B801" i="16" s="1"/>
  <c r="B802" i="16"/>
  <c r="B803" i="16" s="1"/>
  <c r="B804" i="16" s="1"/>
  <c r="B805" i="16" s="1"/>
  <c r="B806" i="16" s="1"/>
  <c r="B807" i="16" s="1"/>
  <c r="B808" i="16" s="1"/>
  <c r="B809" i="16" s="1"/>
  <c r="B810" i="16" s="1"/>
  <c r="B811" i="16"/>
  <c r="B812" i="16"/>
  <c r="B813" i="16"/>
  <c r="B814" i="16"/>
  <c r="B815" i="16" s="1"/>
  <c r="B816" i="16" s="1"/>
  <c r="B817" i="16"/>
  <c r="B818" i="16" s="1"/>
  <c r="B819" i="16" s="1"/>
  <c r="B820" i="16" s="1"/>
  <c r="B821" i="16" s="1"/>
  <c r="B822" i="16" s="1"/>
  <c r="B823" i="16" s="1"/>
  <c r="B824" i="16"/>
  <c r="B825" i="16"/>
  <c r="B826" i="16"/>
  <c r="B827" i="16" s="1"/>
  <c r="B828" i="16" s="1"/>
  <c r="B829" i="16" s="1"/>
  <c r="B830" i="16" s="1"/>
  <c r="B831" i="16" s="1"/>
  <c r="B832" i="16"/>
  <c r="B833" i="16" s="1"/>
  <c r="B834" i="16" s="1"/>
  <c r="B835" i="16" s="1"/>
  <c r="B836" i="16" s="1"/>
  <c r="B837" i="16" s="1"/>
  <c r="B838" i="16"/>
  <c r="B839" i="16" s="1"/>
  <c r="B840" i="16" s="1"/>
  <c r="B841" i="16"/>
  <c r="B842" i="16" s="1"/>
  <c r="B843" i="16" s="1"/>
  <c r="B844" i="16"/>
  <c r="B845" i="16" s="1"/>
  <c r="B846" i="16" s="1"/>
  <c r="B847" i="16"/>
  <c r="B848" i="16" s="1"/>
  <c r="B849" i="16"/>
  <c r="B502" i="15"/>
  <c r="B503" i="15" s="1"/>
  <c r="B504" i="15"/>
  <c r="B505" i="15" s="1"/>
  <c r="B506" i="15"/>
  <c r="B507" i="15" s="1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 s="1"/>
  <c r="B521" i="15"/>
  <c r="B522" i="15" s="1"/>
  <c r="B523" i="15"/>
  <c r="B524" i="15" s="1"/>
  <c r="B525" i="15" s="1"/>
  <c r="B526" i="15" s="1"/>
  <c r="B527" i="15" s="1"/>
  <c r="B528" i="15" s="1"/>
  <c r="B529" i="15"/>
  <c r="B530" i="15" s="1"/>
  <c r="B531" i="15" s="1"/>
  <c r="B532" i="15" s="1"/>
  <c r="B533" i="15" s="1"/>
  <c r="B534" i="15" s="1"/>
  <c r="B535" i="15" s="1"/>
  <c r="B536" i="15"/>
  <c r="B537" i="15"/>
  <c r="B538" i="15" s="1"/>
  <c r="B539" i="15" s="1"/>
  <c r="B540" i="15" s="1"/>
  <c r="B541" i="15" s="1"/>
  <c r="B542" i="15" s="1"/>
  <c r="B543" i="15" s="1"/>
  <c r="B544" i="15"/>
  <c r="B545" i="15"/>
  <c r="B546" i="15" s="1"/>
  <c r="B547" i="15" s="1"/>
  <c r="B548" i="15" s="1"/>
  <c r="B549" i="15" s="1"/>
  <c r="B550" i="15"/>
  <c r="B551" i="15"/>
  <c r="B552" i="15"/>
  <c r="B553" i="15"/>
  <c r="B554" i="15"/>
  <c r="B555" i="15"/>
  <c r="B556" i="15" s="1"/>
  <c r="B557" i="15" s="1"/>
  <c r="B558" i="15" s="1"/>
  <c r="B559" i="15" s="1"/>
  <c r="B560" i="15"/>
  <c r="B561" i="15"/>
  <c r="B562" i="15" s="1"/>
  <c r="B563" i="15"/>
  <c r="B564" i="15" s="1"/>
  <c r="B565" i="15"/>
  <c r="B566" i="15"/>
  <c r="B567" i="15"/>
  <c r="B568" i="15"/>
  <c r="B569" i="15"/>
  <c r="B570" i="15"/>
  <c r="B571" i="15" s="1"/>
  <c r="B572" i="15"/>
  <c r="B573" i="15"/>
  <c r="B574" i="15"/>
  <c r="B575" i="15"/>
  <c r="B576" i="15"/>
  <c r="B577" i="15"/>
  <c r="B578" i="15"/>
  <c r="B579" i="15"/>
  <c r="B580" i="15"/>
  <c r="B581" i="15"/>
  <c r="B582" i="15"/>
  <c r="B583" i="15" s="1"/>
  <c r="B584" i="15"/>
  <c r="B585" i="15"/>
  <c r="B586" i="15" s="1"/>
  <c r="B587" i="15"/>
  <c r="B588" i="15" s="1"/>
  <c r="B589" i="15"/>
  <c r="B590" i="15" s="1"/>
  <c r="B591" i="15"/>
  <c r="B592" i="15" s="1"/>
  <c r="B593" i="15"/>
  <c r="B594" i="15" s="1"/>
  <c r="B595" i="15"/>
  <c r="B596" i="15" s="1"/>
  <c r="B597" i="15"/>
  <c r="B598" i="15" s="1"/>
  <c r="B599" i="15" s="1"/>
  <c r="B600" i="15" s="1"/>
  <c r="B601" i="15" s="1"/>
  <c r="B602" i="15"/>
  <c r="B603" i="15"/>
  <c r="B604" i="15"/>
  <c r="B1002" i="14"/>
  <c r="B1003" i="14" s="1"/>
  <c r="B1004" i="14"/>
  <c r="B1005" i="14" s="1"/>
  <c r="B1006" i="14" s="1"/>
  <c r="B1007" i="14" s="1"/>
  <c r="B1008" i="14" s="1"/>
  <c r="B1009" i="14"/>
  <c r="B1010" i="14" s="1"/>
  <c r="B1011" i="14" s="1"/>
  <c r="B1012" i="14" s="1"/>
  <c r="B1013" i="14" s="1"/>
  <c r="B1014" i="14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/>
  <c r="B1026" i="14" s="1"/>
  <c r="B1027" i="14" s="1"/>
  <c r="B1028" i="14" s="1"/>
  <c r="B1029" i="14" s="1"/>
  <c r="B1030" i="14"/>
  <c r="B1031" i="14"/>
  <c r="B1032" i="14" s="1"/>
  <c r="B1033" i="14" s="1"/>
  <c r="B1034" i="14" s="1"/>
  <c r="B1035" i="14" s="1"/>
  <c r="B1036" i="14" s="1"/>
  <c r="B1037" i="14"/>
  <c r="B1038" i="14" s="1"/>
  <c r="B1039" i="14" s="1"/>
  <c r="B1040" i="14" s="1"/>
  <c r="B1041" i="14" s="1"/>
  <c r="B1042" i="14"/>
  <c r="B1043" i="14"/>
  <c r="B1044" i="14" s="1"/>
  <c r="B1045" i="14" s="1"/>
  <c r="B1046" i="14" s="1"/>
  <c r="B1047" i="14" s="1"/>
  <c r="B1048" i="14" s="1"/>
  <c r="B1049" i="14" s="1"/>
  <c r="B1050" i="14"/>
  <c r="B1051" i="14"/>
  <c r="B1052" i="14" s="1"/>
  <c r="B1053" i="14" s="1"/>
  <c r="B1054" i="14" s="1"/>
  <c r="B1055" i="14"/>
  <c r="B1056" i="14" s="1"/>
  <c r="B1057" i="14" s="1"/>
  <c r="B1058" i="14" s="1"/>
  <c r="B1059" i="14" s="1"/>
  <c r="B1060" i="14"/>
  <c r="B1061" i="14"/>
  <c r="B1062" i="14" s="1"/>
  <c r="B1063" i="14" s="1"/>
  <c r="B1064" i="14" s="1"/>
  <c r="B1065" i="14" s="1"/>
  <c r="B1066" i="14"/>
  <c r="B1067" i="14"/>
  <c r="B1068" i="14" s="1"/>
  <c r="B1069" i="14" s="1"/>
  <c r="B1070" i="14" s="1"/>
  <c r="B1071" i="14" s="1"/>
  <c r="B1072" i="14"/>
  <c r="B1073" i="14"/>
  <c r="B1074" i="14" s="1"/>
  <c r="B1075" i="14" s="1"/>
  <c r="B1076" i="14" s="1"/>
  <c r="B1077" i="14" s="1"/>
  <c r="B1078" i="14"/>
  <c r="B1079" i="14"/>
  <c r="B1080" i="14" s="1"/>
  <c r="B1081" i="14" s="1"/>
  <c r="B1082" i="14" s="1"/>
  <c r="B1083" i="14" s="1"/>
  <c r="B1084" i="14"/>
  <c r="B1085" i="14"/>
  <c r="B1086" i="14" s="1"/>
  <c r="B1087" i="14" s="1"/>
  <c r="B1088" i="14" s="1"/>
  <c r="B1089" i="14" s="1"/>
  <c r="B1090" i="14"/>
  <c r="B1091" i="14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 s="1"/>
  <c r="B1102" i="14" s="1"/>
  <c r="B1103" i="14" s="1"/>
  <c r="B1104" i="14" s="1"/>
  <c r="B1105" i="14" s="1"/>
  <c r="B1106" i="14" s="1"/>
  <c r="B1107" i="14" s="1"/>
  <c r="B1108" i="14"/>
  <c r="B1109" i="14"/>
  <c r="B1110" i="14" s="1"/>
  <c r="B1111" i="14" s="1"/>
  <c r="B1112" i="14" s="1"/>
  <c r="B1113" i="14" s="1"/>
  <c r="B1114" i="14"/>
  <c r="B1115" i="14"/>
  <c r="B1116" i="14" s="1"/>
  <c r="B1117" i="14" s="1"/>
  <c r="B1118" i="14" s="1"/>
  <c r="B1119" i="14"/>
  <c r="B1120" i="14" s="1"/>
  <c r="B1121" i="14" s="1"/>
  <c r="B1122" i="14" s="1"/>
  <c r="B1123" i="14" s="1"/>
  <c r="B1124" i="14"/>
  <c r="B1125" i="14" s="1"/>
  <c r="B1126" i="14" s="1"/>
  <c r="B1127" i="14" s="1"/>
  <c r="B1128" i="14" s="1"/>
  <c r="B1129" i="14" s="1"/>
  <c r="B1130" i="14"/>
  <c r="B1131" i="14"/>
  <c r="B1132" i="14" s="1"/>
  <c r="B1133" i="14" s="1"/>
  <c r="B1134" i="14" s="1"/>
  <c r="B1135" i="14" s="1"/>
  <c r="B1136" i="14"/>
  <c r="B1137" i="14"/>
  <c r="B1138" i="14" s="1"/>
  <c r="B1139" i="14" s="1"/>
  <c r="B1140" i="14" s="1"/>
  <c r="B1141" i="14" s="1"/>
  <c r="B1142" i="14" s="1"/>
  <c r="B1143" i="14"/>
  <c r="B1144" i="14" s="1"/>
  <c r="B1145" i="14" s="1"/>
  <c r="B1146" i="14" s="1"/>
  <c r="B1147" i="14" s="1"/>
  <c r="B1148" i="14" s="1"/>
  <c r="B1149" i="14"/>
  <c r="B1150" i="14" s="1"/>
  <c r="B1151" i="14" s="1"/>
  <c r="B1152" i="14" s="1"/>
  <c r="B1153" i="14" s="1"/>
  <c r="B1154" i="14" s="1"/>
  <c r="B1155" i="14"/>
  <c r="B1156" i="14" s="1"/>
  <c r="B1157" i="14" s="1"/>
  <c r="B1158" i="14" s="1"/>
  <c r="B1159" i="14" s="1"/>
  <c r="B1160" i="14"/>
  <c r="B1161" i="14"/>
  <c r="B1162" i="14" s="1"/>
  <c r="B1163" i="14" s="1"/>
  <c r="B1164" i="14" s="1"/>
  <c r="B1165" i="14"/>
  <c r="B1166" i="14" s="1"/>
  <c r="B1167" i="14" s="1"/>
  <c r="B1168" i="14" s="1"/>
  <c r="B1169" i="14" s="1"/>
  <c r="B1170" i="14" s="1"/>
  <c r="B1171" i="14" s="1"/>
  <c r="B1172" i="14" s="1"/>
  <c r="B1173" i="14"/>
  <c r="B1174" i="14" s="1"/>
  <c r="B1175" i="14" s="1"/>
  <c r="B1176" i="14" s="1"/>
  <c r="B1177" i="14" s="1"/>
  <c r="B1178" i="14" s="1"/>
  <c r="B1179" i="14"/>
  <c r="B1180" i="14" s="1"/>
  <c r="B1181" i="14" s="1"/>
  <c r="B1182" i="14" s="1"/>
  <c r="B1183" i="14" s="1"/>
  <c r="B1184" i="14" s="1"/>
  <c r="B1185" i="14"/>
  <c r="B1186" i="14" s="1"/>
  <c r="B1187" i="14" s="1"/>
  <c r="B1188" i="14" s="1"/>
  <c r="B1189" i="14" s="1"/>
  <c r="B1190" i="14"/>
  <c r="B1191" i="14"/>
  <c r="B1192" i="14" s="1"/>
  <c r="B1193" i="14" s="1"/>
  <c r="B1194" i="14" s="1"/>
  <c r="B1195" i="14"/>
  <c r="B1196" i="14" s="1"/>
  <c r="B1197" i="14" s="1"/>
  <c r="B1198" i="14" s="1"/>
  <c r="B1199" i="14" s="1"/>
  <c r="B1200" i="14" s="1"/>
  <c r="B1201" i="14"/>
  <c r="B1202" i="14" s="1"/>
  <c r="B1203" i="14" s="1"/>
  <c r="B1204" i="14" s="1"/>
  <c r="B1205" i="14" s="1"/>
  <c r="B1206" i="14" s="1"/>
  <c r="B1207" i="14"/>
  <c r="B1208" i="14" s="1"/>
  <c r="B1209" i="14" s="1"/>
  <c r="B1210" i="14" s="1"/>
  <c r="B1211" i="14" s="1"/>
  <c r="B1212" i="14"/>
  <c r="B1213" i="14" s="1"/>
  <c r="B1214" i="14" s="1"/>
  <c r="B1215" i="14" s="1"/>
  <c r="B1216" i="14" s="1"/>
  <c r="B1217" i="14"/>
  <c r="B1218" i="14" s="1"/>
  <c r="B1219" i="14" s="1"/>
  <c r="B1220" i="14" s="1"/>
  <c r="B1221" i="14" s="1"/>
  <c r="B1222" i="14"/>
  <c r="B1223" i="14"/>
  <c r="B1224" i="14" s="1"/>
  <c r="B1225" i="14" s="1"/>
  <c r="B1226" i="14" s="1"/>
  <c r="B1227" i="14" s="1"/>
  <c r="B1228" i="14" s="1"/>
  <c r="B1229" i="14" s="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 s="1"/>
  <c r="B216" i="11"/>
  <c r="B217" i="11"/>
  <c r="B218" i="11"/>
  <c r="B219" i="11"/>
  <c r="B220" i="11"/>
  <c r="B221" i="11"/>
  <c r="B222" i="11"/>
  <c r="B223" i="11"/>
  <c r="B224" i="11" s="1"/>
  <c r="B225" i="11"/>
  <c r="B226" i="11" s="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T286" i="18"/>
  <c r="A286" i="18" s="1"/>
  <c r="T656" i="17"/>
  <c r="A656" i="17" s="1"/>
  <c r="T657" i="17"/>
  <c r="A657" i="17" s="1"/>
  <c r="T658" i="17"/>
  <c r="A658" i="17" s="1"/>
  <c r="T672" i="16"/>
  <c r="A672" i="16" s="1"/>
  <c r="T673" i="16"/>
  <c r="A673" i="16" s="1"/>
  <c r="T674" i="16"/>
  <c r="A674" i="16" s="1"/>
  <c r="T675" i="16"/>
  <c r="A675" i="16" s="1"/>
  <c r="T676" i="16"/>
  <c r="A676" i="16" s="1"/>
  <c r="T677" i="16"/>
  <c r="A677" i="16" s="1"/>
  <c r="T502" i="15"/>
  <c r="A502" i="15" s="1"/>
  <c r="T503" i="15"/>
  <c r="A503" i="15" s="1"/>
  <c r="T999" i="14"/>
  <c r="A999" i="14" s="1"/>
  <c r="T1000" i="14"/>
  <c r="A1000" i="14" s="1"/>
  <c r="T1001" i="14"/>
  <c r="A1001" i="14" s="1"/>
  <c r="T1002" i="14"/>
  <c r="A1002" i="14" s="1"/>
  <c r="T1003" i="14"/>
  <c r="A1003" i="14" s="1"/>
  <c r="T199" i="11"/>
  <c r="A199" i="11" s="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H213" i="51"/>
  <c r="A174" i="2"/>
  <c r="V174" i="2"/>
  <c r="W174" i="2"/>
  <c r="X174" i="2"/>
  <c r="C21" i="59"/>
  <c r="D21" i="59"/>
  <c r="E21" i="59"/>
  <c r="F21" i="59"/>
  <c r="G21" i="59"/>
  <c r="H21" i="59"/>
  <c r="A21" i="59"/>
  <c r="B21" i="59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2" i="18"/>
  <c r="T183" i="18"/>
  <c r="T372" i="17"/>
  <c r="T373" i="17"/>
  <c r="T374" i="17"/>
  <c r="T424" i="16"/>
  <c r="T425" i="16"/>
  <c r="T426" i="16"/>
  <c r="T427" i="16"/>
  <c r="T428" i="16"/>
  <c r="T429" i="16"/>
  <c r="T430" i="16"/>
  <c r="T303" i="15"/>
  <c r="T304" i="15"/>
  <c r="T305" i="15"/>
  <c r="T306" i="15"/>
  <c r="T592" i="14"/>
  <c r="T593" i="14"/>
  <c r="T594" i="14"/>
  <c r="T595" i="14"/>
  <c r="T596" i="14"/>
  <c r="T114" i="11"/>
  <c r="A101" i="2"/>
  <c r="V101" i="2"/>
  <c r="W101" i="2"/>
  <c r="X101" i="2"/>
  <c r="H35" i="58"/>
  <c r="H36" i="58"/>
  <c r="H37" i="58"/>
  <c r="H38" i="58"/>
  <c r="H39" i="58"/>
  <c r="H40" i="58"/>
  <c r="H41" i="58"/>
  <c r="H42" i="58"/>
  <c r="H43" i="58"/>
  <c r="H44" i="58"/>
  <c r="T307" i="18"/>
  <c r="T308" i="18"/>
  <c r="T707" i="17"/>
  <c r="T708" i="17"/>
  <c r="T709" i="17"/>
  <c r="T710" i="17"/>
  <c r="T740" i="16"/>
  <c r="T741" i="16"/>
  <c r="T544" i="15"/>
  <c r="T545" i="15"/>
  <c r="T546" i="15"/>
  <c r="T547" i="15"/>
  <c r="T548" i="15"/>
  <c r="T549" i="15"/>
  <c r="T1078" i="14"/>
  <c r="T1079" i="14"/>
  <c r="T1080" i="14"/>
  <c r="T1081" i="14"/>
  <c r="T1082" i="14"/>
  <c r="T1083" i="14"/>
  <c r="T213" i="11"/>
  <c r="A188" i="2"/>
  <c r="V188" i="2"/>
  <c r="W188" i="2"/>
  <c r="X188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42" i="18"/>
  <c r="T343" i="18"/>
  <c r="T777" i="17"/>
  <c r="T778" i="17"/>
  <c r="T832" i="16"/>
  <c r="T833" i="16"/>
  <c r="T834" i="16"/>
  <c r="T835" i="16"/>
  <c r="T836" i="16"/>
  <c r="T837" i="16"/>
  <c r="T591" i="15"/>
  <c r="T592" i="15"/>
  <c r="T1195" i="14"/>
  <c r="T1196" i="14"/>
  <c r="T1197" i="14"/>
  <c r="T1198" i="14"/>
  <c r="T1199" i="14"/>
  <c r="T1200" i="14"/>
  <c r="T237" i="11"/>
  <c r="A208" i="2"/>
  <c r="V208" i="2"/>
  <c r="W208" i="2"/>
  <c r="X208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K64" i="49" s="1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X44" i="58" s="1"/>
  <c r="P37" i="49"/>
  <c r="O37" i="49"/>
  <c r="N37" i="49"/>
  <c r="M37" i="49"/>
  <c r="L37" i="49"/>
  <c r="K37" i="49"/>
  <c r="J37" i="49"/>
  <c r="I37" i="49"/>
  <c r="H37" i="49"/>
  <c r="G37" i="49"/>
  <c r="N44" i="58" s="1"/>
  <c r="F37" i="49"/>
  <c r="E37" i="49"/>
  <c r="L44" i="58" s="1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0" i="18"/>
  <c r="T197" i="17"/>
  <c r="T198" i="17"/>
  <c r="T199" i="17"/>
  <c r="T229" i="16"/>
  <c r="T230" i="16"/>
  <c r="T231" i="16"/>
  <c r="T232" i="16"/>
  <c r="T233" i="16"/>
  <c r="T234" i="16"/>
  <c r="T166" i="15"/>
  <c r="T167" i="15"/>
  <c r="T325" i="14"/>
  <c r="T326" i="14"/>
  <c r="T327" i="14"/>
  <c r="T328" i="14"/>
  <c r="T329" i="14"/>
  <c r="T330" i="14"/>
  <c r="T66" i="11"/>
  <c r="A56" i="2"/>
  <c r="V56" i="2"/>
  <c r="W56" i="2"/>
  <c r="X56" i="2"/>
  <c r="T201" i="18"/>
  <c r="T202" i="18"/>
  <c r="T433" i="17"/>
  <c r="T434" i="17"/>
  <c r="T435" i="17"/>
  <c r="T480" i="16"/>
  <c r="T481" i="16"/>
  <c r="T346" i="15"/>
  <c r="T347" i="15"/>
  <c r="T348" i="15"/>
  <c r="T349" i="15"/>
  <c r="T350" i="15"/>
  <c r="T351" i="15"/>
  <c r="T678" i="14"/>
  <c r="T679" i="14"/>
  <c r="T680" i="14"/>
  <c r="T681" i="14"/>
  <c r="T682" i="14"/>
  <c r="T683" i="14"/>
  <c r="T684" i="14"/>
  <c r="T131" i="11"/>
  <c r="A117" i="2"/>
  <c r="V117" i="2"/>
  <c r="W117" i="2"/>
  <c r="X117" i="2"/>
  <c r="T316" i="18"/>
  <c r="T729" i="17"/>
  <c r="T730" i="17"/>
  <c r="T731" i="17"/>
  <c r="T732" i="17"/>
  <c r="T756" i="16"/>
  <c r="T757" i="16"/>
  <c r="T758" i="16"/>
  <c r="T759" i="16"/>
  <c r="T760" i="16"/>
  <c r="T563" i="15"/>
  <c r="T564" i="15"/>
  <c r="T1114" i="14"/>
  <c r="T1115" i="14"/>
  <c r="T1116" i="14"/>
  <c r="T1117" i="14"/>
  <c r="T1118" i="14"/>
  <c r="T220" i="11"/>
  <c r="A194" i="2"/>
  <c r="V194" i="2"/>
  <c r="W194" i="2"/>
  <c r="X194" i="2"/>
  <c r="T315" i="18"/>
  <c r="T726" i="17"/>
  <c r="T727" i="17"/>
  <c r="T728" i="17"/>
  <c r="T750" i="16"/>
  <c r="T751" i="16"/>
  <c r="T752" i="16"/>
  <c r="T753" i="16"/>
  <c r="T754" i="16"/>
  <c r="T755" i="16"/>
  <c r="T561" i="15"/>
  <c r="T562" i="15"/>
  <c r="T1108" i="14"/>
  <c r="T1109" i="14"/>
  <c r="T1110" i="14"/>
  <c r="T1111" i="14"/>
  <c r="T1112" i="14"/>
  <c r="T1113" i="14"/>
  <c r="T219" i="11"/>
  <c r="A193" i="2"/>
  <c r="V193" i="2"/>
  <c r="W193" i="2"/>
  <c r="X193" i="2"/>
  <c r="T259" i="18"/>
  <c r="T582" i="17"/>
  <c r="T583" i="17"/>
  <c r="T584" i="17"/>
  <c r="T585" i="17"/>
  <c r="T586" i="17"/>
  <c r="T587" i="17"/>
  <c r="T588" i="17"/>
  <c r="T589" i="17"/>
  <c r="T590" i="17"/>
  <c r="T616" i="16"/>
  <c r="T617" i="16"/>
  <c r="T451" i="15"/>
  <c r="T452" i="15"/>
  <c r="T892" i="14"/>
  <c r="T893" i="14"/>
  <c r="T894" i="14"/>
  <c r="T895" i="14"/>
  <c r="T896" i="14"/>
  <c r="T173" i="11"/>
  <c r="A156" i="2"/>
  <c r="V156" i="2"/>
  <c r="W156" i="2"/>
  <c r="X156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5" i="18"/>
  <c r="T96" i="18"/>
  <c r="T187" i="17"/>
  <c r="T188" i="17"/>
  <c r="T189" i="17"/>
  <c r="T190" i="17"/>
  <c r="T191" i="17"/>
  <c r="T215" i="16"/>
  <c r="T216" i="16"/>
  <c r="T217" i="16"/>
  <c r="T218" i="16"/>
  <c r="T219" i="16"/>
  <c r="T220" i="16"/>
  <c r="T158" i="15"/>
  <c r="T159" i="15"/>
  <c r="T298" i="14"/>
  <c r="T299" i="14"/>
  <c r="T300" i="14"/>
  <c r="T301" i="14"/>
  <c r="T302" i="14"/>
  <c r="T62" i="11"/>
  <c r="A52" i="2"/>
  <c r="V52" i="2"/>
  <c r="W52" i="2"/>
  <c r="X52" i="2"/>
  <c r="T314" i="18"/>
  <c r="T725" i="17"/>
  <c r="T749" i="16"/>
  <c r="T560" i="15"/>
  <c r="T1100" i="14"/>
  <c r="T1101" i="14"/>
  <c r="T1102" i="14"/>
  <c r="T1103" i="14"/>
  <c r="T1104" i="14"/>
  <c r="T1105" i="14"/>
  <c r="T1106" i="14"/>
  <c r="T1107" i="14"/>
  <c r="T218" i="11"/>
  <c r="A192" i="2"/>
  <c r="V192" i="2"/>
  <c r="W192" i="2"/>
  <c r="X192" i="2"/>
  <c r="T311" i="18"/>
  <c r="T715" i="17"/>
  <c r="T716" i="17"/>
  <c r="T717" i="17"/>
  <c r="T718" i="17"/>
  <c r="T719" i="17"/>
  <c r="T720" i="17"/>
  <c r="T721" i="17"/>
  <c r="T745" i="16"/>
  <c r="T746" i="16"/>
  <c r="T552" i="15"/>
  <c r="T553" i="15"/>
  <c r="T1090" i="14"/>
  <c r="T1091" i="14"/>
  <c r="T1092" i="14"/>
  <c r="T1093" i="14"/>
  <c r="T1094" i="14"/>
  <c r="T216" i="11"/>
  <c r="V190" i="2"/>
  <c r="A190" i="2"/>
  <c r="W190" i="2"/>
  <c r="X190" i="2"/>
  <c r="T418" i="14"/>
  <c r="T123" i="18"/>
  <c r="T124" i="18"/>
  <c r="T253" i="17"/>
  <c r="T254" i="17"/>
  <c r="T255" i="17"/>
  <c r="T295" i="16"/>
  <c r="T296" i="16"/>
  <c r="T297" i="16"/>
  <c r="T298" i="16"/>
  <c r="T299" i="16"/>
  <c r="T300" i="16"/>
  <c r="T301" i="16"/>
  <c r="T191" i="15"/>
  <c r="T192" i="15"/>
  <c r="T413" i="14"/>
  <c r="T414" i="14"/>
  <c r="T415" i="14"/>
  <c r="T416" i="14"/>
  <c r="T417" i="14"/>
  <c r="T80" i="11"/>
  <c r="A70" i="2"/>
  <c r="V70" i="2"/>
  <c r="W70" i="2"/>
  <c r="X70" i="2"/>
  <c r="T171" i="18"/>
  <c r="T172" i="18"/>
  <c r="T347" i="17"/>
  <c r="T348" i="17"/>
  <c r="T349" i="17"/>
  <c r="T350" i="17"/>
  <c r="T351" i="17"/>
  <c r="T402" i="16"/>
  <c r="T403" i="16"/>
  <c r="T404" i="16"/>
  <c r="T405" i="16"/>
  <c r="T406" i="16"/>
  <c r="T289" i="15"/>
  <c r="T290" i="15"/>
  <c r="T554" i="14"/>
  <c r="T555" i="14"/>
  <c r="T556" i="14"/>
  <c r="T557" i="14"/>
  <c r="T558" i="14"/>
  <c r="T559" i="14"/>
  <c r="T560" i="14"/>
  <c r="T108" i="11"/>
  <c r="A95" i="2"/>
  <c r="V95" i="2"/>
  <c r="W95" i="2"/>
  <c r="X95" i="2"/>
  <c r="T153" i="18"/>
  <c r="T154" i="18"/>
  <c r="T155" i="18"/>
  <c r="T307" i="17"/>
  <c r="T308" i="17"/>
  <c r="T309" i="17"/>
  <c r="T350" i="16"/>
  <c r="T351" i="16"/>
  <c r="T352" i="16"/>
  <c r="T353" i="16"/>
  <c r="T264" i="15"/>
  <c r="T265" i="15"/>
  <c r="T266" i="15"/>
  <c r="T267" i="15"/>
  <c r="T268" i="15"/>
  <c r="T269" i="15"/>
  <c r="T270" i="15"/>
  <c r="T498" i="14"/>
  <c r="T499" i="14"/>
  <c r="T500" i="14"/>
  <c r="T501" i="14"/>
  <c r="T502" i="14"/>
  <c r="T503" i="14"/>
  <c r="T96" i="11"/>
  <c r="T97" i="11"/>
  <c r="A85" i="2"/>
  <c r="V85" i="2"/>
  <c r="W85" i="2"/>
  <c r="X85" i="2"/>
  <c r="T309" i="18"/>
  <c r="T310" i="18"/>
  <c r="T711" i="17"/>
  <c r="T712" i="17"/>
  <c r="T713" i="17"/>
  <c r="T714" i="17"/>
  <c r="T742" i="16"/>
  <c r="T743" i="16"/>
  <c r="T744" i="16"/>
  <c r="T550" i="15"/>
  <c r="T551" i="15"/>
  <c r="T1084" i="14"/>
  <c r="T1085" i="14"/>
  <c r="T1086" i="14"/>
  <c r="T1087" i="14"/>
  <c r="T1088" i="14"/>
  <c r="T1089" i="14"/>
  <c r="T214" i="11"/>
  <c r="T215" i="11"/>
  <c r="A189" i="2"/>
  <c r="V189" i="2"/>
  <c r="W189" i="2"/>
  <c r="X189" i="2"/>
  <c r="T317" i="18"/>
  <c r="T318" i="18"/>
  <c r="T733" i="17"/>
  <c r="T734" i="17"/>
  <c r="T735" i="17"/>
  <c r="T736" i="17"/>
  <c r="T761" i="16"/>
  <c r="T762" i="16"/>
  <c r="T763" i="16"/>
  <c r="T764" i="16"/>
  <c r="T765" i="16"/>
  <c r="T766" i="16"/>
  <c r="T767" i="16"/>
  <c r="T565" i="15"/>
  <c r="T1119" i="14"/>
  <c r="T1120" i="14"/>
  <c r="T1121" i="14"/>
  <c r="T1122" i="14"/>
  <c r="T1123" i="14"/>
  <c r="T221" i="11"/>
  <c r="A195" i="2"/>
  <c r="V195" i="2"/>
  <c r="W195" i="2"/>
  <c r="X195" i="2"/>
  <c r="T313" i="18"/>
  <c r="T312" i="18"/>
  <c r="T722" i="17"/>
  <c r="T723" i="17"/>
  <c r="T724" i="17"/>
  <c r="T747" i="16"/>
  <c r="T748" i="16"/>
  <c r="T554" i="15"/>
  <c r="T555" i="15"/>
  <c r="T556" i="15"/>
  <c r="T557" i="15"/>
  <c r="T558" i="15"/>
  <c r="T559" i="15"/>
  <c r="T1095" i="14"/>
  <c r="T1096" i="14"/>
  <c r="T1097" i="14"/>
  <c r="T1098" i="14"/>
  <c r="T1099" i="14"/>
  <c r="T217" i="11"/>
  <c r="A191" i="2"/>
  <c r="V191" i="2"/>
  <c r="W191" i="2"/>
  <c r="X191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0" i="18"/>
  <c r="T271" i="18"/>
  <c r="T610" i="17"/>
  <c r="T611" i="17"/>
  <c r="T612" i="17"/>
  <c r="T635" i="16"/>
  <c r="T636" i="16"/>
  <c r="T637" i="16"/>
  <c r="T638" i="16"/>
  <c r="T482" i="15"/>
  <c r="T483" i="15"/>
  <c r="T484" i="15"/>
  <c r="T941" i="14"/>
  <c r="T942" i="14"/>
  <c r="T943" i="14"/>
  <c r="T944" i="14"/>
  <c r="T945" i="14"/>
  <c r="T185" i="11"/>
  <c r="T186" i="11"/>
  <c r="A164" i="2"/>
  <c r="V164" i="2"/>
  <c r="W164" i="2"/>
  <c r="X164" i="2"/>
  <c r="A25" i="2"/>
  <c r="T267" i="18"/>
  <c r="T268" i="18"/>
  <c r="T604" i="17"/>
  <c r="T605" i="17"/>
  <c r="T606" i="17"/>
  <c r="T627" i="16"/>
  <c r="T628" i="16"/>
  <c r="T476" i="15"/>
  <c r="T477" i="15"/>
  <c r="T478" i="15"/>
  <c r="T479" i="15"/>
  <c r="T928" i="14"/>
  <c r="T929" i="14"/>
  <c r="T930" i="14"/>
  <c r="T931" i="14"/>
  <c r="T932" i="14"/>
  <c r="T933" i="14"/>
  <c r="T934" i="14"/>
  <c r="T935" i="14"/>
  <c r="T183" i="11"/>
  <c r="T182" i="11"/>
  <c r="A162" i="2"/>
  <c r="V162" i="2"/>
  <c r="W162" i="2"/>
  <c r="X162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28" i="17"/>
  <c r="T74" i="18"/>
  <c r="T75" i="18"/>
  <c r="T125" i="17"/>
  <c r="T126" i="17"/>
  <c r="T127" i="17"/>
  <c r="T157" i="16"/>
  <c r="T158" i="16"/>
  <c r="T114" i="15"/>
  <c r="T221" i="14"/>
  <c r="T222" i="14"/>
  <c r="T223" i="14"/>
  <c r="T224" i="14"/>
  <c r="T225" i="14"/>
  <c r="T226" i="14"/>
  <c r="T227" i="14"/>
  <c r="T46" i="11"/>
  <c r="T47" i="11"/>
  <c r="A39" i="2"/>
  <c r="V39" i="2"/>
  <c r="W39" i="2"/>
  <c r="X39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4" i="18"/>
  <c r="T65" i="18"/>
  <c r="T66" i="18"/>
  <c r="T111" i="17"/>
  <c r="T112" i="17"/>
  <c r="T113" i="17"/>
  <c r="T136" i="16"/>
  <c r="T137" i="16"/>
  <c r="T138" i="16"/>
  <c r="T139" i="16"/>
  <c r="T140" i="16"/>
  <c r="T141" i="16"/>
  <c r="T142" i="16"/>
  <c r="T143" i="16"/>
  <c r="T108" i="15"/>
  <c r="T109" i="15"/>
  <c r="T198" i="14"/>
  <c r="T199" i="14"/>
  <c r="T200" i="14"/>
  <c r="T201" i="14"/>
  <c r="T202" i="14"/>
  <c r="T42" i="11"/>
  <c r="V35" i="2"/>
  <c r="A35" i="2"/>
  <c r="W35" i="2"/>
  <c r="X35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32" i="18"/>
  <c r="T761" i="17"/>
  <c r="T762" i="17"/>
  <c r="T763" i="17"/>
  <c r="T802" i="16"/>
  <c r="T803" i="16"/>
  <c r="T804" i="16"/>
  <c r="T805" i="16"/>
  <c r="T806" i="16"/>
  <c r="T807" i="16"/>
  <c r="T808" i="16"/>
  <c r="T809" i="16"/>
  <c r="T810" i="16"/>
  <c r="T578" i="15"/>
  <c r="T579" i="15"/>
  <c r="T1164" i="14"/>
  <c r="T1163" i="14"/>
  <c r="T1162" i="14"/>
  <c r="T1161" i="14"/>
  <c r="T1160" i="14"/>
  <c r="T230" i="11"/>
  <c r="A202" i="2"/>
  <c r="V202" i="2"/>
  <c r="W202" i="2"/>
  <c r="X202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2" i="18"/>
  <c r="T163" i="18"/>
  <c r="T322" i="17"/>
  <c r="T323" i="17"/>
  <c r="T324" i="17"/>
  <c r="T325" i="17"/>
  <c r="T326" i="17"/>
  <c r="T369" i="16"/>
  <c r="T370" i="16"/>
  <c r="T371" i="16"/>
  <c r="T372" i="16"/>
  <c r="T277" i="15"/>
  <c r="T278" i="15"/>
  <c r="T521" i="14"/>
  <c r="T522" i="14"/>
  <c r="T523" i="14"/>
  <c r="T524" i="14"/>
  <c r="T525" i="14"/>
  <c r="T526" i="14"/>
  <c r="T102" i="11"/>
  <c r="A89" i="2"/>
  <c r="V89" i="2"/>
  <c r="W89" i="2"/>
  <c r="X89" i="2"/>
  <c r="T324" i="18"/>
  <c r="T325" i="18"/>
  <c r="T326" i="18"/>
  <c r="T743" i="17"/>
  <c r="T744" i="17"/>
  <c r="T745" i="17"/>
  <c r="T782" i="16"/>
  <c r="T783" i="16"/>
  <c r="T784" i="16"/>
  <c r="T785" i="16"/>
  <c r="T786" i="16"/>
  <c r="T787" i="16"/>
  <c r="T570" i="15"/>
  <c r="T571" i="15"/>
  <c r="T1136" i="14"/>
  <c r="T1137" i="14"/>
  <c r="T1138" i="14"/>
  <c r="T1139" i="14"/>
  <c r="T1140" i="14"/>
  <c r="T1141" i="14"/>
  <c r="T1142" i="14"/>
  <c r="T225" i="11"/>
  <c r="T226" i="11"/>
  <c r="A198" i="2"/>
  <c r="V198" i="2"/>
  <c r="W198" i="2"/>
  <c r="X198" i="2"/>
  <c r="T274" i="18"/>
  <c r="T275" i="18"/>
  <c r="T621" i="17"/>
  <c r="T622" i="17"/>
  <c r="T623" i="17"/>
  <c r="T624" i="17"/>
  <c r="T625" i="17"/>
  <c r="T626" i="17"/>
  <c r="T627" i="17"/>
  <c r="T643" i="16"/>
  <c r="T644" i="16"/>
  <c r="T645" i="16"/>
  <c r="T646" i="16"/>
  <c r="T647" i="16"/>
  <c r="T487" i="15"/>
  <c r="T488" i="15"/>
  <c r="T951" i="14"/>
  <c r="T952" i="14"/>
  <c r="T953" i="14"/>
  <c r="T954" i="14"/>
  <c r="T955" i="14"/>
  <c r="T188" i="11"/>
  <c r="T189" i="11"/>
  <c r="A166" i="2"/>
  <c r="V166" i="2"/>
  <c r="W166" i="2"/>
  <c r="X166" i="2"/>
  <c r="T385" i="16"/>
  <c r="T184" i="18"/>
  <c r="T375" i="17"/>
  <c r="T376" i="17"/>
  <c r="T377" i="17"/>
  <c r="T431" i="16"/>
  <c r="T432" i="16"/>
  <c r="T307" i="15"/>
  <c r="T308" i="15"/>
  <c r="T309" i="15"/>
  <c r="T310" i="15"/>
  <c r="T311" i="15"/>
  <c r="T312" i="15"/>
  <c r="T597" i="14"/>
  <c r="T598" i="14"/>
  <c r="T599" i="14"/>
  <c r="T600" i="14"/>
  <c r="T601" i="14"/>
  <c r="T115" i="11"/>
  <c r="T116" i="11"/>
  <c r="A102" i="2"/>
  <c r="V102" i="2"/>
  <c r="W102" i="2"/>
  <c r="X102" i="2"/>
  <c r="T140" i="18"/>
  <c r="T292" i="17"/>
  <c r="T293" i="17"/>
  <c r="T294" i="17"/>
  <c r="T328" i="16"/>
  <c r="T329" i="16"/>
  <c r="T330" i="16"/>
  <c r="T331" i="16"/>
  <c r="T233" i="15"/>
  <c r="T234" i="15"/>
  <c r="T235" i="15"/>
  <c r="T469" i="14"/>
  <c r="T470" i="14"/>
  <c r="T471" i="14"/>
  <c r="T472" i="14"/>
  <c r="T473" i="14"/>
  <c r="T90" i="11"/>
  <c r="T139" i="18"/>
  <c r="T287" i="17"/>
  <c r="T288" i="17"/>
  <c r="T289" i="17"/>
  <c r="T290" i="17"/>
  <c r="T291" i="17"/>
  <c r="T325" i="16"/>
  <c r="T326" i="16"/>
  <c r="T327" i="16"/>
  <c r="T231" i="15"/>
  <c r="T232" i="15"/>
  <c r="T465" i="14"/>
  <c r="T466" i="14"/>
  <c r="T467" i="14"/>
  <c r="T468" i="14"/>
  <c r="T464" i="14"/>
  <c r="T89" i="11"/>
  <c r="T137" i="18"/>
  <c r="T138" i="18"/>
  <c r="T284" i="17"/>
  <c r="T285" i="17"/>
  <c r="T286" i="17"/>
  <c r="T323" i="16"/>
  <c r="T324" i="16"/>
  <c r="T224" i="15"/>
  <c r="T225" i="15"/>
  <c r="T226" i="15"/>
  <c r="T227" i="15"/>
  <c r="T228" i="15"/>
  <c r="T229" i="15"/>
  <c r="T230" i="15"/>
  <c r="T460" i="14"/>
  <c r="T461" i="14"/>
  <c r="T462" i="14"/>
  <c r="T463" i="14"/>
  <c r="T88" i="11"/>
  <c r="A78" i="2"/>
  <c r="A79" i="2"/>
  <c r="A80" i="2"/>
  <c r="V78" i="2"/>
  <c r="V79" i="2"/>
  <c r="V80" i="2"/>
  <c r="W78" i="2"/>
  <c r="W79" i="2"/>
  <c r="W80" i="2"/>
  <c r="X78" i="2"/>
  <c r="X79" i="2"/>
  <c r="X80" i="2"/>
  <c r="T81" i="18"/>
  <c r="T82" i="18"/>
  <c r="T83" i="18"/>
  <c r="T146" i="17"/>
  <c r="T147" i="17"/>
  <c r="T148" i="17"/>
  <c r="T180" i="16"/>
  <c r="T181" i="16"/>
  <c r="T182" i="16"/>
  <c r="T183" i="16"/>
  <c r="T139" i="15"/>
  <c r="T140" i="15"/>
  <c r="T141" i="15"/>
  <c r="T142" i="15"/>
  <c r="T143" i="15"/>
  <c r="T144" i="15"/>
  <c r="T145" i="15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54" i="11"/>
  <c r="A45" i="2"/>
  <c r="V45" i="2"/>
  <c r="W45" i="2"/>
  <c r="X45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8" i="18"/>
  <c r="T193" i="17"/>
  <c r="T222" i="16"/>
  <c r="T162" i="15"/>
  <c r="T163" i="15"/>
  <c r="T311" i="14"/>
  <c r="T312" i="14"/>
  <c r="T313" i="14"/>
  <c r="T314" i="14"/>
  <c r="T315" i="14"/>
  <c r="T316" i="14"/>
  <c r="T317" i="14"/>
  <c r="T318" i="14"/>
  <c r="T319" i="14"/>
  <c r="T64" i="11"/>
  <c r="A54" i="2"/>
  <c r="V54" i="2"/>
  <c r="W54" i="2"/>
  <c r="X54" i="2"/>
  <c r="T92" i="18"/>
  <c r="T91" i="18"/>
  <c r="T174" i="17"/>
  <c r="T173" i="17"/>
  <c r="T172" i="17"/>
  <c r="T171" i="17"/>
  <c r="T170" i="17"/>
  <c r="T169" i="17"/>
  <c r="T207" i="16"/>
  <c r="T206" i="16"/>
  <c r="T205" i="16"/>
  <c r="T204" i="16"/>
  <c r="T203" i="16"/>
  <c r="T202" i="16"/>
  <c r="T201" i="16"/>
  <c r="T153" i="15"/>
  <c r="T152" i="15"/>
  <c r="T287" i="14"/>
  <c r="T286" i="14"/>
  <c r="T285" i="14"/>
  <c r="T284" i="14"/>
  <c r="T283" i="14"/>
  <c r="T282" i="14"/>
  <c r="T281" i="14"/>
  <c r="T59" i="11"/>
  <c r="A49" i="2"/>
  <c r="V49" i="2"/>
  <c r="W49" i="2"/>
  <c r="X49" i="2"/>
  <c r="T306" i="18"/>
  <c r="T704" i="17"/>
  <c r="T705" i="17"/>
  <c r="T706" i="17"/>
  <c r="T738" i="16"/>
  <c r="T739" i="16"/>
  <c r="T536" i="15"/>
  <c r="T537" i="15"/>
  <c r="T538" i="15"/>
  <c r="T539" i="15"/>
  <c r="T540" i="15"/>
  <c r="T541" i="15"/>
  <c r="T542" i="15"/>
  <c r="T543" i="15"/>
  <c r="T1072" i="14"/>
  <c r="T1073" i="14"/>
  <c r="T1074" i="14"/>
  <c r="T1075" i="14"/>
  <c r="T1076" i="14"/>
  <c r="T1077" i="14"/>
  <c r="T212" i="11"/>
  <c r="A187" i="2"/>
  <c r="V187" i="2"/>
  <c r="W187" i="2"/>
  <c r="X187" i="2"/>
  <c r="T294" i="18"/>
  <c r="T295" i="18"/>
  <c r="T296" i="18"/>
  <c r="T668" i="17"/>
  <c r="T669" i="17"/>
  <c r="T670" i="17"/>
  <c r="T705" i="16"/>
  <c r="T706" i="16"/>
  <c r="T707" i="16"/>
  <c r="T708" i="16"/>
  <c r="T709" i="16"/>
  <c r="T710" i="16"/>
  <c r="T711" i="16"/>
  <c r="T712" i="16"/>
  <c r="T713" i="16"/>
  <c r="T510" i="15"/>
  <c r="T511" i="15"/>
  <c r="T1019" i="14"/>
  <c r="T1020" i="14"/>
  <c r="T1021" i="14"/>
  <c r="T1022" i="14"/>
  <c r="T1023" i="14"/>
  <c r="T203" i="11"/>
  <c r="A178" i="2"/>
  <c r="V178" i="2"/>
  <c r="W178" i="2"/>
  <c r="X178" i="2"/>
  <c r="T166" i="18"/>
  <c r="T332" i="17"/>
  <c r="T333" i="17"/>
  <c r="T334" i="17"/>
  <c r="T335" i="17"/>
  <c r="T336" i="17"/>
  <c r="T337" i="17"/>
  <c r="T377" i="16"/>
  <c r="T378" i="16"/>
  <c r="T379" i="16"/>
  <c r="T380" i="16"/>
  <c r="T281" i="15"/>
  <c r="T282" i="15"/>
  <c r="T532" i="14"/>
  <c r="T533" i="14"/>
  <c r="T534" i="14"/>
  <c r="T535" i="14"/>
  <c r="T536" i="14"/>
  <c r="T104" i="11"/>
  <c r="A91" i="2"/>
  <c r="V91" i="2"/>
  <c r="W91" i="2"/>
  <c r="X91" i="2"/>
  <c r="T261" i="18"/>
  <c r="T262" i="18"/>
  <c r="T594" i="17"/>
  <c r="T595" i="17"/>
  <c r="T596" i="17"/>
  <c r="T620" i="16"/>
  <c r="T621" i="16"/>
  <c r="T458" i="15"/>
  <c r="T459" i="15"/>
  <c r="T460" i="15"/>
  <c r="T461" i="15"/>
  <c r="T462" i="15"/>
  <c r="T463" i="15"/>
  <c r="T902" i="14"/>
  <c r="T903" i="14"/>
  <c r="T904" i="14"/>
  <c r="T905" i="14"/>
  <c r="T906" i="14"/>
  <c r="T176" i="11"/>
  <c r="T177" i="11"/>
  <c r="A158" i="2"/>
  <c r="V158" i="2"/>
  <c r="W158" i="2"/>
  <c r="X158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1" i="18"/>
  <c r="T640" i="17"/>
  <c r="T641" i="17"/>
  <c r="T642" i="17"/>
  <c r="T643" i="17"/>
  <c r="T661" i="16"/>
  <c r="T662" i="16"/>
  <c r="T663" i="16"/>
  <c r="T664" i="16"/>
  <c r="T495" i="15"/>
  <c r="T496" i="15"/>
  <c r="T660" i="16"/>
  <c r="T974" i="14"/>
  <c r="T975" i="14"/>
  <c r="T976" i="14"/>
  <c r="T977" i="14"/>
  <c r="T978" i="14"/>
  <c r="T979" i="14"/>
  <c r="T194" i="11"/>
  <c r="A170" i="2"/>
  <c r="V170" i="2"/>
  <c r="W170" i="2"/>
  <c r="X170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5" i="18"/>
  <c r="T206" i="18"/>
  <c r="T207" i="18"/>
  <c r="T439" i="17"/>
  <c r="T440" i="17"/>
  <c r="T441" i="17"/>
  <c r="T484" i="16"/>
  <c r="T485" i="16"/>
  <c r="T357" i="15"/>
  <c r="T358" i="15"/>
  <c r="T359" i="15"/>
  <c r="T360" i="15"/>
  <c r="T361" i="15"/>
  <c r="T691" i="14"/>
  <c r="T692" i="14"/>
  <c r="T693" i="14"/>
  <c r="T694" i="14"/>
  <c r="T695" i="14"/>
  <c r="T696" i="14"/>
  <c r="T133" i="11"/>
  <c r="A119" i="2"/>
  <c r="V119" i="2"/>
  <c r="W119" i="2"/>
  <c r="X119" i="2"/>
  <c r="T143" i="18"/>
  <c r="T220" i="18"/>
  <c r="T221" i="18"/>
  <c r="T477" i="17"/>
  <c r="T478" i="17"/>
  <c r="T479" i="17"/>
  <c r="T517" i="16"/>
  <c r="T518" i="16"/>
  <c r="T519" i="16"/>
  <c r="T520" i="16"/>
  <c r="T521" i="16"/>
  <c r="T522" i="16"/>
  <c r="T523" i="16"/>
  <c r="T379" i="15"/>
  <c r="T380" i="15"/>
  <c r="T747" i="14"/>
  <c r="T748" i="14"/>
  <c r="T749" i="14"/>
  <c r="T750" i="14"/>
  <c r="T751" i="14"/>
  <c r="T752" i="14"/>
  <c r="T145" i="11"/>
  <c r="A129" i="2"/>
  <c r="V129" i="2"/>
  <c r="W129" i="2"/>
  <c r="X129" i="2"/>
  <c r="T160" i="18"/>
  <c r="T161" i="18"/>
  <c r="T318" i="17"/>
  <c r="T319" i="17"/>
  <c r="T320" i="17"/>
  <c r="T321" i="17"/>
  <c r="T365" i="16"/>
  <c r="T366" i="16"/>
  <c r="T367" i="16"/>
  <c r="T368" i="16"/>
  <c r="T275" i="15"/>
  <c r="T276" i="15"/>
  <c r="T100" i="11"/>
  <c r="T101" i="11"/>
  <c r="T514" i="14"/>
  <c r="T515" i="14"/>
  <c r="T516" i="14"/>
  <c r="T517" i="14"/>
  <c r="T518" i="14"/>
  <c r="T519" i="14"/>
  <c r="T520" i="14"/>
  <c r="A88" i="2"/>
  <c r="V88" i="2"/>
  <c r="W88" i="2"/>
  <c r="X88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3" i="2"/>
  <c r="W34" i="2"/>
  <c r="W36" i="2"/>
  <c r="W37" i="2"/>
  <c r="W38" i="2"/>
  <c r="W40" i="2"/>
  <c r="W41" i="2"/>
  <c r="W42" i="2"/>
  <c r="W43" i="2"/>
  <c r="W44" i="2"/>
  <c r="W46" i="2"/>
  <c r="W47" i="2"/>
  <c r="W48" i="2"/>
  <c r="W50" i="2"/>
  <c r="W51" i="2"/>
  <c r="W53" i="2"/>
  <c r="W5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81" i="2"/>
  <c r="W82" i="2"/>
  <c r="W83" i="2"/>
  <c r="W84" i="2"/>
  <c r="W86" i="2"/>
  <c r="W87" i="2"/>
  <c r="W90" i="2"/>
  <c r="W92" i="2"/>
  <c r="W93" i="2"/>
  <c r="W94" i="2"/>
  <c r="W96" i="2"/>
  <c r="W97" i="2"/>
  <c r="W98" i="2"/>
  <c r="W99" i="2"/>
  <c r="W100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8" i="2"/>
  <c r="W120" i="2"/>
  <c r="W121" i="2"/>
  <c r="W122" i="2"/>
  <c r="W123" i="2"/>
  <c r="W124" i="2"/>
  <c r="W125" i="2"/>
  <c r="W126" i="2"/>
  <c r="W127" i="2"/>
  <c r="W128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7" i="2"/>
  <c r="W159" i="2"/>
  <c r="W160" i="2"/>
  <c r="W161" i="2"/>
  <c r="W163" i="2"/>
  <c r="W165" i="2"/>
  <c r="W167" i="2"/>
  <c r="W168" i="2"/>
  <c r="W169" i="2"/>
  <c r="W171" i="2"/>
  <c r="W172" i="2"/>
  <c r="W173" i="2"/>
  <c r="W175" i="2"/>
  <c r="W176" i="2"/>
  <c r="W177" i="2"/>
  <c r="W179" i="2"/>
  <c r="W180" i="2"/>
  <c r="W181" i="2"/>
  <c r="W182" i="2"/>
  <c r="W183" i="2"/>
  <c r="W184" i="2"/>
  <c r="W185" i="2"/>
  <c r="W186" i="2"/>
  <c r="W196" i="2"/>
  <c r="W197" i="2"/>
  <c r="W199" i="2"/>
  <c r="W200" i="2"/>
  <c r="W201" i="2"/>
  <c r="W203" i="2"/>
  <c r="W204" i="2"/>
  <c r="W205" i="2"/>
  <c r="W206" i="2"/>
  <c r="W207" i="2"/>
  <c r="W209" i="2"/>
  <c r="W210" i="2"/>
  <c r="W211" i="2"/>
  <c r="W212" i="2"/>
  <c r="W213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3" i="2"/>
  <c r="V34" i="2"/>
  <c r="V36" i="2"/>
  <c r="V37" i="2"/>
  <c r="V38" i="2"/>
  <c r="V40" i="2"/>
  <c r="V41" i="2"/>
  <c r="V42" i="2"/>
  <c r="V43" i="2"/>
  <c r="V44" i="2"/>
  <c r="V46" i="2"/>
  <c r="V47" i="2"/>
  <c r="V48" i="2"/>
  <c r="V50" i="2"/>
  <c r="V51" i="2"/>
  <c r="V53" i="2"/>
  <c r="V55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81" i="2"/>
  <c r="V82" i="2"/>
  <c r="V83" i="2"/>
  <c r="V84" i="2"/>
  <c r="V86" i="2"/>
  <c r="V87" i="2"/>
  <c r="V90" i="2"/>
  <c r="V92" i="2"/>
  <c r="V93" i="2"/>
  <c r="V94" i="2"/>
  <c r="V96" i="2"/>
  <c r="V97" i="2"/>
  <c r="V98" i="2"/>
  <c r="V99" i="2"/>
  <c r="V100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8" i="2"/>
  <c r="V120" i="2"/>
  <c r="V121" i="2"/>
  <c r="V122" i="2"/>
  <c r="V123" i="2"/>
  <c r="V124" i="2"/>
  <c r="V125" i="2"/>
  <c r="V126" i="2"/>
  <c r="V127" i="2"/>
  <c r="V128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7" i="2"/>
  <c r="V159" i="2"/>
  <c r="V160" i="2"/>
  <c r="V161" i="2"/>
  <c r="V163" i="2"/>
  <c r="V165" i="2"/>
  <c r="V167" i="2"/>
  <c r="V168" i="2"/>
  <c r="V169" i="2"/>
  <c r="V171" i="2"/>
  <c r="V172" i="2"/>
  <c r="V173" i="2"/>
  <c r="V175" i="2"/>
  <c r="V176" i="2"/>
  <c r="V177" i="2"/>
  <c r="V179" i="2"/>
  <c r="V180" i="2"/>
  <c r="V181" i="2"/>
  <c r="V182" i="2"/>
  <c r="V183" i="2"/>
  <c r="V184" i="2"/>
  <c r="V185" i="2"/>
  <c r="V186" i="2"/>
  <c r="V196" i="2"/>
  <c r="V197" i="2"/>
  <c r="V199" i="2"/>
  <c r="V200" i="2"/>
  <c r="V201" i="2"/>
  <c r="V203" i="2"/>
  <c r="V204" i="2"/>
  <c r="V205" i="2"/>
  <c r="V206" i="2"/>
  <c r="V207" i="2"/>
  <c r="V209" i="2"/>
  <c r="V210" i="2"/>
  <c r="V211" i="2"/>
  <c r="V212" i="2"/>
  <c r="V213" i="2"/>
  <c r="W2" i="2"/>
  <c r="V2" i="2"/>
  <c r="X169" i="2"/>
  <c r="X171" i="2"/>
  <c r="X172" i="2"/>
  <c r="X173" i="2"/>
  <c r="X175" i="2"/>
  <c r="X176" i="2"/>
  <c r="X177" i="2"/>
  <c r="X179" i="2"/>
  <c r="X180" i="2"/>
  <c r="X181" i="2"/>
  <c r="X182" i="2"/>
  <c r="X183" i="2"/>
  <c r="X184" i="2"/>
  <c r="X185" i="2"/>
  <c r="X186" i="2"/>
  <c r="X196" i="2"/>
  <c r="X197" i="2"/>
  <c r="X199" i="2"/>
  <c r="X200" i="2"/>
  <c r="X201" i="2"/>
  <c r="X203" i="2"/>
  <c r="X204" i="2"/>
  <c r="X205" i="2"/>
  <c r="X206" i="2"/>
  <c r="X207" i="2"/>
  <c r="X209" i="2"/>
  <c r="X210" i="2"/>
  <c r="X211" i="2"/>
  <c r="X212" i="2"/>
  <c r="X213" i="2"/>
  <c r="T150" i="18"/>
  <c r="T151" i="18"/>
  <c r="T152" i="18"/>
  <c r="T304" i="17"/>
  <c r="T305" i="17"/>
  <c r="T306" i="17"/>
  <c r="T344" i="16"/>
  <c r="T345" i="16"/>
  <c r="T346" i="16"/>
  <c r="T347" i="16"/>
  <c r="T348" i="16"/>
  <c r="T349" i="16"/>
  <c r="T258" i="15"/>
  <c r="T259" i="15"/>
  <c r="T260" i="15"/>
  <c r="T261" i="15"/>
  <c r="T262" i="15"/>
  <c r="T263" i="15"/>
  <c r="T492" i="14"/>
  <c r="T493" i="14"/>
  <c r="T494" i="14"/>
  <c r="T495" i="14"/>
  <c r="T496" i="14"/>
  <c r="T497" i="14"/>
  <c r="T95" i="11"/>
  <c r="A84" i="2"/>
  <c r="X84" i="2"/>
  <c r="T337" i="18"/>
  <c r="T768" i="17"/>
  <c r="T769" i="17"/>
  <c r="T770" i="17"/>
  <c r="T817" i="16"/>
  <c r="T818" i="16"/>
  <c r="T819" i="16"/>
  <c r="T820" i="16"/>
  <c r="T821" i="16"/>
  <c r="T822" i="16"/>
  <c r="T823" i="16"/>
  <c r="T584" i="15"/>
  <c r="T585" i="15"/>
  <c r="T586" i="15"/>
  <c r="T1179" i="14"/>
  <c r="T1180" i="14"/>
  <c r="T1181" i="14"/>
  <c r="T1182" i="14"/>
  <c r="T1183" i="14"/>
  <c r="T1184" i="14"/>
  <c r="T233" i="11"/>
  <c r="A205" i="2"/>
  <c r="T243" i="18"/>
  <c r="T244" i="18"/>
  <c r="T536" i="17"/>
  <c r="T537" i="17"/>
  <c r="T538" i="17"/>
  <c r="T577" i="16"/>
  <c r="T578" i="16"/>
  <c r="T579" i="16"/>
  <c r="T580" i="16"/>
  <c r="T581" i="16"/>
  <c r="T582" i="16"/>
  <c r="T583" i="16"/>
  <c r="T424" i="15"/>
  <c r="T425" i="15"/>
  <c r="T841" i="14"/>
  <c r="T842" i="14"/>
  <c r="T843" i="14"/>
  <c r="T844" i="14"/>
  <c r="T845" i="14"/>
  <c r="T163" i="11"/>
  <c r="A146" i="2"/>
  <c r="X146" i="2"/>
  <c r="T102" i="18"/>
  <c r="T206" i="17"/>
  <c r="T207" i="17"/>
  <c r="T208" i="17"/>
  <c r="T209" i="17"/>
  <c r="T210" i="17"/>
  <c r="T211" i="17"/>
  <c r="T239" i="16"/>
  <c r="T240" i="16"/>
  <c r="T241" i="16"/>
  <c r="T242" i="16"/>
  <c r="T243" i="16"/>
  <c r="T170" i="15"/>
  <c r="T171" i="15"/>
  <c r="T337" i="14"/>
  <c r="T338" i="14"/>
  <c r="T339" i="14"/>
  <c r="T340" i="14"/>
  <c r="T341" i="14"/>
  <c r="T342" i="14"/>
  <c r="T68" i="11"/>
  <c r="A58" i="2"/>
  <c r="X58" i="2"/>
  <c r="T105" i="18"/>
  <c r="T106" i="18"/>
  <c r="T107" i="18"/>
  <c r="T216" i="17"/>
  <c r="T217" i="17"/>
  <c r="T218" i="17"/>
  <c r="T219" i="17"/>
  <c r="T249" i="16"/>
  <c r="T250" i="16"/>
  <c r="T251" i="16"/>
  <c r="T252" i="16"/>
  <c r="T253" i="16"/>
  <c r="T173" i="15"/>
  <c r="T348" i="14"/>
  <c r="T349" i="14"/>
  <c r="T350" i="14"/>
  <c r="T351" i="14"/>
  <c r="T352" i="14"/>
  <c r="T353" i="14"/>
  <c r="T354" i="14"/>
  <c r="T70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0" i="2"/>
  <c r="X60" i="2"/>
  <c r="A24" i="2"/>
  <c r="X24" i="2"/>
  <c r="T278" i="18"/>
  <c r="T279" i="18"/>
  <c r="T632" i="17"/>
  <c r="T633" i="17"/>
  <c r="T634" i="17"/>
  <c r="T635" i="17"/>
  <c r="T652" i="16"/>
  <c r="T653" i="16"/>
  <c r="T654" i="16"/>
  <c r="T491" i="15"/>
  <c r="T492" i="15"/>
  <c r="T962" i="14"/>
  <c r="T963" i="14"/>
  <c r="T964" i="14"/>
  <c r="T965" i="14"/>
  <c r="T966" i="14"/>
  <c r="T967" i="14"/>
  <c r="T968" i="14"/>
  <c r="T191" i="11"/>
  <c r="T192" i="11"/>
  <c r="A168" i="2"/>
  <c r="X168" i="2"/>
  <c r="T134" i="16"/>
  <c r="T128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2" i="18"/>
  <c r="T293" i="18"/>
  <c r="T665" i="17"/>
  <c r="T666" i="17"/>
  <c r="T667" i="17"/>
  <c r="T696" i="16"/>
  <c r="T697" i="16"/>
  <c r="T698" i="16"/>
  <c r="T699" i="16"/>
  <c r="T700" i="16"/>
  <c r="T701" i="16"/>
  <c r="T702" i="16"/>
  <c r="T703" i="16"/>
  <c r="T704" i="16"/>
  <c r="T508" i="15"/>
  <c r="T509" i="15"/>
  <c r="T1014" i="14"/>
  <c r="T1015" i="14"/>
  <c r="T1016" i="14"/>
  <c r="T1017" i="14"/>
  <c r="T1018" i="14"/>
  <c r="T202" i="11"/>
  <c r="A177" i="2"/>
  <c r="T328" i="18"/>
  <c r="T329" i="18"/>
  <c r="T752" i="17"/>
  <c r="T753" i="17"/>
  <c r="T754" i="17"/>
  <c r="T755" i="17"/>
  <c r="T756" i="17"/>
  <c r="T757" i="17"/>
  <c r="T791" i="16"/>
  <c r="T792" i="16"/>
  <c r="T793" i="16"/>
  <c r="T574" i="15"/>
  <c r="T575" i="15"/>
  <c r="T1149" i="14"/>
  <c r="T1150" i="14"/>
  <c r="T1151" i="14"/>
  <c r="T1152" i="14"/>
  <c r="T1153" i="14"/>
  <c r="T1154" i="14"/>
  <c r="T228" i="11"/>
  <c r="A200" i="2"/>
  <c r="T147" i="18"/>
  <c r="T148" i="18"/>
  <c r="T149" i="18"/>
  <c r="T301" i="17"/>
  <c r="T302" i="17"/>
  <c r="T303" i="17"/>
  <c r="T340" i="16"/>
  <c r="T341" i="16"/>
  <c r="T342" i="16"/>
  <c r="T343" i="16"/>
  <c r="T250" i="15"/>
  <c r="T251" i="15"/>
  <c r="T252" i="15"/>
  <c r="T253" i="15"/>
  <c r="T254" i="15"/>
  <c r="T255" i="15"/>
  <c r="T256" i="15"/>
  <c r="T257" i="15"/>
  <c r="T486" i="14"/>
  <c r="T487" i="14"/>
  <c r="T488" i="14"/>
  <c r="T489" i="14"/>
  <c r="T490" i="14"/>
  <c r="T491" i="14"/>
  <c r="T94" i="11"/>
  <c r="A83" i="2"/>
  <c r="X83" i="2"/>
  <c r="T181" i="18"/>
  <c r="T369" i="17"/>
  <c r="T370" i="17"/>
  <c r="T371" i="17"/>
  <c r="T419" i="16"/>
  <c r="T420" i="16"/>
  <c r="T421" i="16"/>
  <c r="T422" i="16"/>
  <c r="T423" i="16"/>
  <c r="T300" i="15"/>
  <c r="T301" i="15"/>
  <c r="T302" i="15"/>
  <c r="T584" i="14"/>
  <c r="T585" i="14"/>
  <c r="T586" i="14"/>
  <c r="T587" i="14"/>
  <c r="T588" i="14"/>
  <c r="T589" i="14"/>
  <c r="T590" i="14"/>
  <c r="T591" i="14"/>
  <c r="T113" i="11"/>
  <c r="A100" i="2"/>
  <c r="X100" i="2"/>
  <c r="T177" i="18"/>
  <c r="T178" i="18"/>
  <c r="T179" i="18"/>
  <c r="T359" i="17"/>
  <c r="T360" i="17"/>
  <c r="T361" i="17"/>
  <c r="T362" i="17"/>
  <c r="T363" i="17"/>
  <c r="T364" i="17"/>
  <c r="T365" i="17"/>
  <c r="T411" i="16"/>
  <c r="T412" i="16"/>
  <c r="T413" i="16"/>
  <c r="T295" i="15"/>
  <c r="T296" i="15"/>
  <c r="T573" i="14"/>
  <c r="T574" i="14"/>
  <c r="T576" i="14"/>
  <c r="T577" i="14"/>
  <c r="T575" i="14"/>
  <c r="T111" i="11"/>
  <c r="A98" i="2"/>
  <c r="X98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2" i="51" s="1"/>
  <c r="A26" i="2"/>
  <c r="A27" i="2"/>
  <c r="A28" i="2"/>
  <c r="A30" i="2"/>
  <c r="A31" i="2"/>
  <c r="A32" i="2"/>
  <c r="A33" i="2"/>
  <c r="A34" i="2"/>
  <c r="A36" i="2"/>
  <c r="A37" i="2"/>
  <c r="A38" i="2"/>
  <c r="A40" i="2"/>
  <c r="A41" i="2"/>
  <c r="A42" i="2"/>
  <c r="A43" i="2"/>
  <c r="A44" i="2"/>
  <c r="A46" i="2"/>
  <c r="A47" i="2"/>
  <c r="A48" i="2"/>
  <c r="A50" i="2"/>
  <c r="A51" i="2"/>
  <c r="A53" i="2"/>
  <c r="A55" i="2"/>
  <c r="A57" i="2"/>
  <c r="A59" i="2"/>
  <c r="A61" i="2"/>
  <c r="A62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81" i="2"/>
  <c r="A82" i="2"/>
  <c r="A86" i="2"/>
  <c r="A87" i="2"/>
  <c r="A90" i="2"/>
  <c r="A92" i="2"/>
  <c r="A93" i="2"/>
  <c r="A94" i="2"/>
  <c r="A96" i="2"/>
  <c r="A97" i="2"/>
  <c r="A99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8" i="2"/>
  <c r="A120" i="2"/>
  <c r="A121" i="2"/>
  <c r="A122" i="2"/>
  <c r="A123" i="2"/>
  <c r="A124" i="2"/>
  <c r="A125" i="2"/>
  <c r="A126" i="2"/>
  <c r="A127" i="2"/>
  <c r="A128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7" i="2"/>
  <c r="A159" i="2"/>
  <c r="A160" i="2"/>
  <c r="A161" i="2"/>
  <c r="A163" i="2"/>
  <c r="A165" i="2"/>
  <c r="A167" i="2"/>
  <c r="A169" i="2"/>
  <c r="A171" i="2"/>
  <c r="A172" i="2"/>
  <c r="A173" i="2"/>
  <c r="A175" i="2"/>
  <c r="A176" i="2"/>
  <c r="A179" i="2"/>
  <c r="A180" i="2"/>
  <c r="A181" i="2"/>
  <c r="A182" i="2"/>
  <c r="A183" i="2"/>
  <c r="A184" i="2"/>
  <c r="A185" i="2"/>
  <c r="A186" i="2"/>
  <c r="A196" i="2"/>
  <c r="A197" i="2"/>
  <c r="A199" i="2"/>
  <c r="A201" i="2"/>
  <c r="A203" i="2"/>
  <c r="A204" i="2"/>
  <c r="A206" i="2"/>
  <c r="A207" i="2"/>
  <c r="A209" i="2"/>
  <c r="A210" i="2"/>
  <c r="A211" i="2"/>
  <c r="A212" i="2"/>
  <c r="A211" i="51" s="1"/>
  <c r="A213" i="2"/>
  <c r="A212" i="51" s="1"/>
  <c r="A2" i="2"/>
  <c r="T249" i="18"/>
  <c r="T248" i="18"/>
  <c r="T551" i="17"/>
  <c r="T552" i="17"/>
  <c r="T553" i="17"/>
  <c r="T554" i="17"/>
  <c r="T555" i="17"/>
  <c r="T556" i="17"/>
  <c r="T557" i="17"/>
  <c r="T558" i="17"/>
  <c r="T591" i="16"/>
  <c r="T592" i="16"/>
  <c r="T430" i="15"/>
  <c r="T431" i="15"/>
  <c r="T856" i="14"/>
  <c r="T857" i="14"/>
  <c r="T858" i="14"/>
  <c r="T859" i="14"/>
  <c r="T860" i="14"/>
  <c r="T166" i="11"/>
  <c r="X149" i="2"/>
  <c r="T322" i="18"/>
  <c r="T323" i="18"/>
  <c r="T740" i="17"/>
  <c r="T741" i="17"/>
  <c r="T742" i="17"/>
  <c r="T775" i="16"/>
  <c r="T776" i="16"/>
  <c r="T777" i="16"/>
  <c r="T778" i="16"/>
  <c r="T779" i="16"/>
  <c r="T780" i="16"/>
  <c r="T781" i="16"/>
  <c r="T568" i="15"/>
  <c r="T569" i="15"/>
  <c r="T1130" i="14"/>
  <c r="T1131" i="14"/>
  <c r="T1132" i="14"/>
  <c r="T1133" i="14"/>
  <c r="T1134" i="14"/>
  <c r="T1135" i="14"/>
  <c r="T223" i="11"/>
  <c r="T224" i="11"/>
  <c r="T265" i="18"/>
  <c r="T266" i="18"/>
  <c r="T601" i="17"/>
  <c r="T602" i="17"/>
  <c r="T603" i="17"/>
  <c r="T625" i="16"/>
  <c r="T626" i="16"/>
  <c r="T471" i="15"/>
  <c r="T472" i="15"/>
  <c r="T473" i="15"/>
  <c r="T474" i="15"/>
  <c r="T475" i="15"/>
  <c r="T921" i="14"/>
  <c r="T922" i="14"/>
  <c r="T923" i="14"/>
  <c r="T924" i="14"/>
  <c r="T925" i="14"/>
  <c r="T926" i="14"/>
  <c r="T927" i="14"/>
  <c r="T180" i="11"/>
  <c r="T181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1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29" i="14"/>
  <c r="T1228" i="14"/>
  <c r="T1227" i="14"/>
  <c r="T791" i="17"/>
  <c r="T792" i="17"/>
  <c r="T793" i="17"/>
  <c r="T1214" i="14"/>
  <c r="T1215" i="14"/>
  <c r="T1216" i="14"/>
  <c r="T1217" i="14"/>
  <c r="T1218" i="14"/>
  <c r="T1219" i="14"/>
  <c r="T347" i="18"/>
  <c r="T784" i="17"/>
  <c r="T785" i="17"/>
  <c r="T786" i="17"/>
  <c r="T787" i="17"/>
  <c r="T788" i="17"/>
  <c r="T1208" i="14"/>
  <c r="T1209" i="14"/>
  <c r="T1210" i="14"/>
  <c r="T1211" i="14"/>
  <c r="T1212" i="14"/>
  <c r="T1213" i="14"/>
  <c r="T1220" i="14"/>
  <c r="T1221" i="14"/>
  <c r="T1222" i="14"/>
  <c r="T241" i="11"/>
  <c r="T840" i="16"/>
  <c r="T841" i="16"/>
  <c r="T842" i="16"/>
  <c r="T843" i="16"/>
  <c r="T844" i="16"/>
  <c r="T845" i="16"/>
  <c r="T595" i="15"/>
  <c r="T596" i="15"/>
  <c r="T597" i="15"/>
  <c r="T598" i="15"/>
  <c r="T599" i="15"/>
  <c r="T600" i="15"/>
  <c r="T601" i="15"/>
  <c r="T602" i="15"/>
  <c r="T239" i="11"/>
  <c r="T775" i="17"/>
  <c r="T776" i="17"/>
  <c r="T779" i="17"/>
  <c r="T780" i="17"/>
  <c r="T781" i="17"/>
  <c r="T782" i="17"/>
  <c r="T783" i="17"/>
  <c r="T827" i="16"/>
  <c r="T828" i="16"/>
  <c r="T829" i="16"/>
  <c r="T830" i="16"/>
  <c r="T831" i="16"/>
  <c r="T838" i="16"/>
  <c r="T839" i="16"/>
  <c r="T846" i="16"/>
  <c r="T847" i="16"/>
  <c r="T590" i="15"/>
  <c r="T593" i="15"/>
  <c r="T1191" i="14"/>
  <c r="T1192" i="14"/>
  <c r="T1193" i="14"/>
  <c r="T1194" i="14"/>
  <c r="T1201" i="14"/>
  <c r="T1202" i="14"/>
  <c r="T1203" i="14"/>
  <c r="T1204" i="14"/>
  <c r="T1205" i="14"/>
  <c r="T1206" i="14"/>
  <c r="T340" i="18"/>
  <c r="T341" i="18"/>
  <c r="T344" i="18"/>
  <c r="T345" i="18"/>
  <c r="T346" i="18"/>
  <c r="T348" i="18"/>
  <c r="T349" i="18"/>
  <c r="T350" i="18"/>
  <c r="T789" i="17"/>
  <c r="T790" i="17"/>
  <c r="T794" i="17"/>
  <c r="T795" i="17"/>
  <c r="T796" i="17"/>
  <c r="T826" i="16"/>
  <c r="T848" i="16"/>
  <c r="T849" i="16"/>
  <c r="T589" i="15"/>
  <c r="T594" i="15"/>
  <c r="T603" i="15"/>
  <c r="T604" i="15"/>
  <c r="T1190" i="14"/>
  <c r="T1207" i="14"/>
  <c r="T1223" i="14"/>
  <c r="T1224" i="14"/>
  <c r="T1225" i="14"/>
  <c r="T1226" i="14"/>
  <c r="T236" i="11"/>
  <c r="T238" i="11"/>
  <c r="T240" i="11"/>
  <c r="T242" i="11"/>
  <c r="T243" i="11"/>
  <c r="T244" i="11"/>
  <c r="T289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9" i="17"/>
  <c r="T129" i="18"/>
  <c r="T130" i="18"/>
  <c r="T131" i="18"/>
  <c r="T266" i="17"/>
  <c r="T267" i="17"/>
  <c r="T268" i="17"/>
  <c r="T306" i="16"/>
  <c r="T307" i="16"/>
  <c r="T308" i="16"/>
  <c r="T208" i="15"/>
  <c r="T209" i="15"/>
  <c r="T210" i="15"/>
  <c r="T211" i="15"/>
  <c r="T212" i="15"/>
  <c r="T213" i="15"/>
  <c r="T214" i="15"/>
  <c r="T215" i="15"/>
  <c r="T216" i="15"/>
  <c r="T431" i="14"/>
  <c r="T432" i="14"/>
  <c r="T433" i="14"/>
  <c r="T434" i="14"/>
  <c r="T435" i="14"/>
  <c r="T436" i="14"/>
  <c r="T83" i="11"/>
  <c r="X73" i="2"/>
  <c r="T170" i="18"/>
  <c r="T344" i="17"/>
  <c r="T345" i="17"/>
  <c r="T346" i="17"/>
  <c r="T393" i="16"/>
  <c r="T394" i="16"/>
  <c r="T395" i="16"/>
  <c r="T396" i="16"/>
  <c r="T397" i="16"/>
  <c r="T398" i="16"/>
  <c r="T399" i="16"/>
  <c r="T400" i="16"/>
  <c r="T401" i="16"/>
  <c r="T287" i="15"/>
  <c r="T288" i="15"/>
  <c r="T548" i="14"/>
  <c r="T549" i="14"/>
  <c r="T550" i="14"/>
  <c r="T551" i="14"/>
  <c r="T552" i="14"/>
  <c r="T553" i="14"/>
  <c r="T107" i="11"/>
  <c r="X94" i="2"/>
  <c r="T216" i="18"/>
  <c r="T466" i="17"/>
  <c r="T467" i="17"/>
  <c r="T468" i="17"/>
  <c r="T469" i="17"/>
  <c r="T470" i="17"/>
  <c r="T506" i="16"/>
  <c r="T507" i="16"/>
  <c r="T508" i="16"/>
  <c r="T373" i="15"/>
  <c r="T374" i="15"/>
  <c r="T729" i="14"/>
  <c r="T730" i="14"/>
  <c r="T731" i="14"/>
  <c r="T732" i="14"/>
  <c r="T733" i="14"/>
  <c r="T140" i="11"/>
  <c r="X126" i="2"/>
  <c r="T252" i="18"/>
  <c r="T253" i="18"/>
  <c r="T562" i="17"/>
  <c r="T563" i="17"/>
  <c r="T564" i="17"/>
  <c r="T598" i="16"/>
  <c r="T599" i="16"/>
  <c r="T600" i="16"/>
  <c r="T601" i="16"/>
  <c r="T602" i="16"/>
  <c r="T603" i="16"/>
  <c r="T604" i="16"/>
  <c r="T605" i="16"/>
  <c r="T434" i="15"/>
  <c r="T435" i="15"/>
  <c r="T866" i="14"/>
  <c r="T867" i="14"/>
  <c r="T868" i="14"/>
  <c r="T869" i="14"/>
  <c r="T870" i="14"/>
  <c r="T168" i="11"/>
  <c r="X151" i="2"/>
  <c r="T796" i="16"/>
  <c r="T797" i="16"/>
  <c r="T798" i="16"/>
  <c r="T799" i="16"/>
  <c r="T800" i="16"/>
  <c r="T801" i="16"/>
  <c r="T811" i="16"/>
  <c r="T748" i="17"/>
  <c r="T749" i="17"/>
  <c r="T750" i="17"/>
  <c r="T751" i="17"/>
  <c r="T758" i="17"/>
  <c r="T759" i="17"/>
  <c r="T760" i="17"/>
  <c r="T321" i="18"/>
  <c r="T320" i="18"/>
  <c r="T738" i="17"/>
  <c r="T739" i="17"/>
  <c r="T746" i="17"/>
  <c r="T567" i="15"/>
  <c r="T572" i="15"/>
  <c r="T573" i="15"/>
  <c r="T576" i="15"/>
  <c r="T577" i="15"/>
  <c r="T580" i="15"/>
  <c r="T581" i="15"/>
  <c r="T1172" i="14"/>
  <c r="T1171" i="14"/>
  <c r="T1170" i="14"/>
  <c r="T1169" i="14"/>
  <c r="T1168" i="14"/>
  <c r="T1167" i="14"/>
  <c r="T1166" i="14"/>
  <c r="T1165" i="14"/>
  <c r="T1159" i="14"/>
  <c r="T1158" i="14"/>
  <c r="T1157" i="14"/>
  <c r="T1156" i="14"/>
  <c r="T1155" i="14"/>
  <c r="T1148" i="14"/>
  <c r="T1147" i="14"/>
  <c r="T1146" i="14"/>
  <c r="T1145" i="14"/>
  <c r="T1144" i="14"/>
  <c r="T1143" i="14"/>
  <c r="T1129" i="14"/>
  <c r="T1128" i="14"/>
  <c r="T319" i="18"/>
  <c r="T327" i="18"/>
  <c r="T330" i="18"/>
  <c r="T331" i="18"/>
  <c r="T700" i="17"/>
  <c r="T701" i="17"/>
  <c r="T702" i="17"/>
  <c r="T703" i="17"/>
  <c r="T737" i="17"/>
  <c r="T747" i="17"/>
  <c r="T1061" i="14"/>
  <c r="T1062" i="14"/>
  <c r="T1063" i="14"/>
  <c r="T1064" i="14"/>
  <c r="T1065" i="14"/>
  <c r="T1066" i="14"/>
  <c r="T1067" i="14"/>
  <c r="T1068" i="14"/>
  <c r="T1069" i="14"/>
  <c r="T685" i="17"/>
  <c r="T686" i="17"/>
  <c r="T687" i="17"/>
  <c r="T688" i="17"/>
  <c r="T689" i="17"/>
  <c r="T690" i="17"/>
  <c r="T691" i="17"/>
  <c r="T734" i="16"/>
  <c r="T735" i="16"/>
  <c r="T736" i="16"/>
  <c r="T737" i="16"/>
  <c r="T768" i="16"/>
  <c r="T769" i="16"/>
  <c r="T770" i="16"/>
  <c r="T771" i="16"/>
  <c r="T772" i="16"/>
  <c r="T773" i="16"/>
  <c r="T774" i="16"/>
  <c r="T788" i="16"/>
  <c r="T789" i="16"/>
  <c r="T790" i="16"/>
  <c r="T794" i="16"/>
  <c r="T795" i="16"/>
  <c r="T291" i="18"/>
  <c r="T659" i="17"/>
  <c r="T660" i="17"/>
  <c r="T661" i="17"/>
  <c r="T662" i="17"/>
  <c r="T663" i="17"/>
  <c r="T664" i="17"/>
  <c r="T695" i="17"/>
  <c r="T696" i="17"/>
  <c r="T671" i="17"/>
  <c r="T672" i="17"/>
  <c r="T673" i="17"/>
  <c r="T674" i="17"/>
  <c r="T679" i="17"/>
  <c r="T680" i="17"/>
  <c r="T681" i="17"/>
  <c r="T682" i="17"/>
  <c r="T683" i="17"/>
  <c r="T684" i="17"/>
  <c r="T692" i="17"/>
  <c r="T693" i="17"/>
  <c r="T694" i="17"/>
  <c r="T687" i="16"/>
  <c r="T688" i="16"/>
  <c r="T689" i="16"/>
  <c r="T690" i="16"/>
  <c r="T691" i="16"/>
  <c r="T692" i="16"/>
  <c r="T693" i="16"/>
  <c r="T694" i="16"/>
  <c r="T695" i="16"/>
  <c r="T730" i="16"/>
  <c r="T714" i="16"/>
  <c r="T715" i="16"/>
  <c r="T716" i="16"/>
  <c r="T717" i="16"/>
  <c r="T731" i="16"/>
  <c r="T723" i="16"/>
  <c r="T724" i="16"/>
  <c r="T725" i="16"/>
  <c r="T726" i="16"/>
  <c r="T535" i="15"/>
  <c r="T566" i="15"/>
  <c r="T512" i="15"/>
  <c r="T513" i="15"/>
  <c r="T516" i="15"/>
  <c r="T517" i="15"/>
  <c r="T518" i="15"/>
  <c r="T519" i="15"/>
  <c r="T520" i="15"/>
  <c r="T1047" i="14"/>
  <c r="T1048" i="14"/>
  <c r="T1049" i="14"/>
  <c r="T1050" i="14"/>
  <c r="T1024" i="14"/>
  <c r="T1025" i="14"/>
  <c r="T1026" i="14"/>
  <c r="T1027" i="14"/>
  <c r="T1028" i="14"/>
  <c r="T1029" i="14"/>
  <c r="T1037" i="14"/>
  <c r="T1038" i="14"/>
  <c r="T1039" i="14"/>
  <c r="T1040" i="14"/>
  <c r="T1041" i="14"/>
  <c r="T1042" i="14"/>
  <c r="T1043" i="14"/>
  <c r="T1044" i="14"/>
  <c r="T1051" i="14"/>
  <c r="T1060" i="14"/>
  <c r="T1070" i="14"/>
  <c r="T200" i="11"/>
  <c r="T201" i="11"/>
  <c r="T204" i="11"/>
  <c r="T205" i="11"/>
  <c r="T206" i="11"/>
  <c r="T207" i="11"/>
  <c r="T208" i="11"/>
  <c r="T209" i="11"/>
  <c r="T210" i="11"/>
  <c r="T211" i="11"/>
  <c r="T222" i="11"/>
  <c r="T227" i="11"/>
  <c r="T92" i="14"/>
  <c r="T100" i="14"/>
  <c r="T1030" i="14"/>
  <c r="T1031" i="14"/>
  <c r="T1032" i="14"/>
  <c r="T1033" i="14"/>
  <c r="T1034" i="14"/>
  <c r="T1035" i="14"/>
  <c r="T1036" i="14"/>
  <c r="T1173" i="14"/>
  <c r="T1174" i="14"/>
  <c r="T1175" i="14"/>
  <c r="T1176" i="14"/>
  <c r="T1177" i="14"/>
  <c r="T339" i="18"/>
  <c r="T774" i="17"/>
  <c r="T235" i="11"/>
  <c r="T336" i="18"/>
  <c r="T766" i="17"/>
  <c r="T767" i="17"/>
  <c r="T771" i="17"/>
  <c r="T772" i="17"/>
  <c r="T813" i="16"/>
  <c r="T814" i="16"/>
  <c r="T815" i="16"/>
  <c r="T816" i="16"/>
  <c r="T824" i="16"/>
  <c r="T825" i="16"/>
  <c r="T587" i="15"/>
  <c r="T588" i="15"/>
  <c r="T1012" i="14"/>
  <c r="T1013" i="14"/>
  <c r="T1045" i="14"/>
  <c r="T1046" i="14"/>
  <c r="T1071" i="14"/>
  <c r="T1124" i="14"/>
  <c r="T1125" i="14"/>
  <c r="T1126" i="14"/>
  <c r="T1127" i="14"/>
  <c r="T1178" i="14"/>
  <c r="T1185" i="14"/>
  <c r="T1186" i="14"/>
  <c r="T1187" i="14"/>
  <c r="T1188" i="14"/>
  <c r="T1189" i="14"/>
  <c r="T1052" i="14"/>
  <c r="T1053" i="14"/>
  <c r="T1054" i="14"/>
  <c r="T335" i="18"/>
  <c r="T338" i="18"/>
  <c r="T773" i="17"/>
  <c r="T583" i="15"/>
  <c r="T1055" i="14"/>
  <c r="T1056" i="14"/>
  <c r="T232" i="11"/>
  <c r="T234" i="11"/>
  <c r="T277" i="18"/>
  <c r="T273" i="18"/>
  <c r="T485" i="15"/>
  <c r="T486" i="15"/>
  <c r="T489" i="15"/>
  <c r="T490" i="15"/>
  <c r="T493" i="15"/>
  <c r="T494" i="15"/>
  <c r="T497" i="15"/>
  <c r="T498" i="15"/>
  <c r="T499" i="15"/>
  <c r="T500" i="15"/>
  <c r="T501" i="15"/>
  <c r="T504" i="15"/>
  <c r="T505" i="15"/>
  <c r="T506" i="15"/>
  <c r="T507" i="15"/>
  <c r="T524" i="15"/>
  <c r="T525" i="15"/>
  <c r="T526" i="15"/>
  <c r="T527" i="15"/>
  <c r="T528" i="15"/>
  <c r="T529" i="15"/>
  <c r="T530" i="15"/>
  <c r="T531" i="15"/>
  <c r="T532" i="15"/>
  <c r="T533" i="15"/>
  <c r="T534" i="15"/>
  <c r="T938" i="14"/>
  <c r="T939" i="14"/>
  <c r="T940" i="14"/>
  <c r="T946" i="14"/>
  <c r="T947" i="14"/>
  <c r="T948" i="14"/>
  <c r="T949" i="14"/>
  <c r="T950" i="14"/>
  <c r="T956" i="14"/>
  <c r="T957" i="14"/>
  <c r="T958" i="14"/>
  <c r="T959" i="14"/>
  <c r="T960" i="14"/>
  <c r="T961" i="14"/>
  <c r="T969" i="14"/>
  <c r="T970" i="14"/>
  <c r="T971" i="14"/>
  <c r="T972" i="14"/>
  <c r="T973" i="14"/>
  <c r="T980" i="14"/>
  <c r="T981" i="14"/>
  <c r="T982" i="14"/>
  <c r="T984" i="14"/>
  <c r="T985" i="14"/>
  <c r="T986" i="14"/>
  <c r="T987" i="14"/>
  <c r="T983" i="14"/>
  <c r="T599" i="17"/>
  <c r="T600" i="17"/>
  <c r="T607" i="17"/>
  <c r="T608" i="17"/>
  <c r="T609" i="17"/>
  <c r="T613" i="17"/>
  <c r="T614" i="17"/>
  <c r="T615" i="17"/>
  <c r="T616" i="17"/>
  <c r="T617" i="17"/>
  <c r="T618" i="17"/>
  <c r="T619" i="17"/>
  <c r="T620" i="17"/>
  <c r="T628" i="17"/>
  <c r="T629" i="17"/>
  <c r="T630" i="17"/>
  <c r="T631" i="17"/>
  <c r="T636" i="17"/>
  <c r="T637" i="17"/>
  <c r="T638" i="17"/>
  <c r="T639" i="17"/>
  <c r="T644" i="17"/>
  <c r="T645" i="17"/>
  <c r="T646" i="17"/>
  <c r="T647" i="17"/>
  <c r="T648" i="17"/>
  <c r="T649" i="17"/>
  <c r="T650" i="17"/>
  <c r="T651" i="17"/>
  <c r="T652" i="17"/>
  <c r="T653" i="17"/>
  <c r="T269" i="18"/>
  <c r="T272" i="18"/>
  <c r="T276" i="18"/>
  <c r="T280" i="18"/>
  <c r="T282" i="18"/>
  <c r="T283" i="18"/>
  <c r="T284" i="18"/>
  <c r="T285" i="18"/>
  <c r="T287" i="18"/>
  <c r="T288" i="18"/>
  <c r="T290" i="18"/>
  <c r="T297" i="18"/>
  <c r="T299" i="18"/>
  <c r="T300" i="18"/>
  <c r="T179" i="11"/>
  <c r="T184" i="11"/>
  <c r="T187" i="11"/>
  <c r="T190" i="11"/>
  <c r="T193" i="11"/>
  <c r="T195" i="11"/>
  <c r="T196" i="11"/>
  <c r="T197" i="11"/>
  <c r="T198" i="11"/>
  <c r="T229" i="11"/>
  <c r="T256" i="18"/>
  <c r="T251" i="18"/>
  <c r="T246" i="18"/>
  <c r="T242" i="18"/>
  <c r="T162" i="11"/>
  <c r="T834" i="14"/>
  <c r="T835" i="14"/>
  <c r="T836" i="14"/>
  <c r="T837" i="14"/>
  <c r="T838" i="14"/>
  <c r="T839" i="14"/>
  <c r="T840" i="14"/>
  <c r="T846" i="14"/>
  <c r="T847" i="14"/>
  <c r="T848" i="14"/>
  <c r="T849" i="14"/>
  <c r="T850" i="14"/>
  <c r="T851" i="14"/>
  <c r="T852" i="14"/>
  <c r="T853" i="14"/>
  <c r="T854" i="14"/>
  <c r="T855" i="14"/>
  <c r="T861" i="14"/>
  <c r="T862" i="14"/>
  <c r="T863" i="14"/>
  <c r="T864" i="14"/>
  <c r="T865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7" i="14"/>
  <c r="T898" i="14"/>
  <c r="T899" i="14"/>
  <c r="T900" i="14"/>
  <c r="T901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241" i="18"/>
  <c r="T245" i="18"/>
  <c r="T247" i="18"/>
  <c r="T250" i="18"/>
  <c r="T254" i="18"/>
  <c r="T255" i="18"/>
  <c r="T257" i="18"/>
  <c r="T258" i="18"/>
  <c r="T260" i="18"/>
  <c r="T263" i="18"/>
  <c r="T264" i="18"/>
  <c r="T301" i="18"/>
  <c r="T160" i="11"/>
  <c r="T161" i="11"/>
  <c r="T164" i="11"/>
  <c r="T165" i="11"/>
  <c r="T167" i="11"/>
  <c r="T169" i="11"/>
  <c r="T170" i="11"/>
  <c r="T171" i="11"/>
  <c r="T172" i="11"/>
  <c r="T17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84" i="16"/>
  <c r="T585" i="16"/>
  <c r="T586" i="16"/>
  <c r="T587" i="16"/>
  <c r="T588" i="16"/>
  <c r="T589" i="16"/>
  <c r="T590" i="16"/>
  <c r="T593" i="16"/>
  <c r="T594" i="16"/>
  <c r="T595" i="16"/>
  <c r="T596" i="16"/>
  <c r="T597" i="16"/>
  <c r="T606" i="16"/>
  <c r="T607" i="16"/>
  <c r="T608" i="16"/>
  <c r="T609" i="16"/>
  <c r="T610" i="16"/>
  <c r="T611" i="16"/>
  <c r="T612" i="16"/>
  <c r="T613" i="16"/>
  <c r="T614" i="16"/>
  <c r="T615" i="16"/>
  <c r="T618" i="16"/>
  <c r="T619" i="16"/>
  <c r="T622" i="16"/>
  <c r="T623" i="16"/>
  <c r="T624" i="16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6" i="15"/>
  <c r="T427" i="15"/>
  <c r="T428" i="15"/>
  <c r="T429" i="15"/>
  <c r="T432" i="15"/>
  <c r="T433" i="15"/>
  <c r="T436" i="15"/>
  <c r="T437" i="15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39" i="11"/>
  <c r="T40" i="11"/>
  <c r="T41" i="11"/>
  <c r="T43" i="11"/>
  <c r="T44" i="11"/>
  <c r="T45" i="11"/>
  <c r="T48" i="11"/>
  <c r="T49" i="11"/>
  <c r="T50" i="11"/>
  <c r="T51" i="11"/>
  <c r="T52" i="11"/>
  <c r="T53" i="11"/>
  <c r="T55" i="11"/>
  <c r="T56" i="11"/>
  <c r="T57" i="11"/>
  <c r="T58" i="11"/>
  <c r="T60" i="11"/>
  <c r="T61" i="11"/>
  <c r="T63" i="11"/>
  <c r="T65" i="11"/>
  <c r="T67" i="11"/>
  <c r="T69" i="11"/>
  <c r="T71" i="11"/>
  <c r="T72" i="11"/>
  <c r="T73" i="11"/>
  <c r="T74" i="11"/>
  <c r="T75" i="11"/>
  <c r="T76" i="11"/>
  <c r="T77" i="11"/>
  <c r="T78" i="11"/>
  <c r="T79" i="11"/>
  <c r="T81" i="11"/>
  <c r="T82" i="11"/>
  <c r="T84" i="11"/>
  <c r="T85" i="11"/>
  <c r="T86" i="11"/>
  <c r="T87" i="11"/>
  <c r="T91" i="11"/>
  <c r="T92" i="11"/>
  <c r="T93" i="11"/>
  <c r="T98" i="11"/>
  <c r="T99" i="11"/>
  <c r="T103" i="11"/>
  <c r="T105" i="11"/>
  <c r="T106" i="11"/>
  <c r="T109" i="11"/>
  <c r="T110" i="11"/>
  <c r="T112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2" i="11"/>
  <c r="T134" i="11"/>
  <c r="T135" i="11"/>
  <c r="T136" i="11"/>
  <c r="T137" i="11"/>
  <c r="T138" i="11"/>
  <c r="T139" i="11"/>
  <c r="T141" i="11"/>
  <c r="T142" i="11"/>
  <c r="T143" i="11"/>
  <c r="T144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75" i="11"/>
  <c r="T178" i="11"/>
  <c r="T231" i="11"/>
  <c r="S94" i="52" l="1"/>
  <c r="R44" i="58"/>
  <c r="S44" i="58"/>
  <c r="T44" i="58"/>
  <c r="M44" i="58"/>
  <c r="A213" i="51"/>
  <c r="M7" i="59"/>
  <c r="Q30" i="58"/>
  <c r="V46" i="52"/>
  <c r="A23" i="51"/>
  <c r="A209" i="51"/>
  <c r="K81" i="49"/>
  <c r="K83" i="49" s="1"/>
  <c r="R21" i="59" s="1"/>
  <c r="J44" i="58"/>
  <c r="V44" i="58"/>
  <c r="I46" i="49"/>
  <c r="I49" i="49" s="1"/>
  <c r="I50" i="49" s="1"/>
  <c r="K44" i="58"/>
  <c r="U44" i="58"/>
  <c r="I44" i="58"/>
  <c r="Q44" i="58"/>
  <c r="P44" i="58"/>
  <c r="O44" i="58"/>
  <c r="W44" i="58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21" i="59" s="1"/>
  <c r="C64" i="49"/>
  <c r="C67" i="49" s="1"/>
  <c r="C68" i="49" s="1"/>
  <c r="F64" i="49"/>
  <c r="F67" i="49" s="1"/>
  <c r="F68" i="49" s="1"/>
  <c r="M81" i="49"/>
  <c r="M83" i="49" s="1"/>
  <c r="T8" i="59" s="1"/>
  <c r="B81" i="49"/>
  <c r="B83" i="49" s="1"/>
  <c r="I3" i="59" s="1"/>
  <c r="G81" i="49"/>
  <c r="G83" i="49" s="1"/>
  <c r="N13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6" i="59" s="1"/>
  <c r="N64" i="49"/>
  <c r="N66" i="49" s="1"/>
  <c r="U6" i="58" s="1"/>
  <c r="O64" i="49"/>
  <c r="O67" i="49" s="1"/>
  <c r="O68" i="49" s="1"/>
  <c r="M64" i="49"/>
  <c r="M66" i="49" s="1"/>
  <c r="T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0" i="59" s="1"/>
  <c r="D81" i="49"/>
  <c r="D83" i="49" s="1"/>
  <c r="K3" i="59" s="1"/>
  <c r="P81" i="49"/>
  <c r="P84" i="49" s="1"/>
  <c r="P85" i="49" s="1"/>
  <c r="N81" i="49"/>
  <c r="N84" i="49" s="1"/>
  <c r="N85" i="49" s="1"/>
  <c r="F81" i="49"/>
  <c r="F83" i="49" s="1"/>
  <c r="M9" i="59" s="1"/>
  <c r="H64" i="49"/>
  <c r="H66" i="49" s="1"/>
  <c r="O23" i="58" s="1"/>
  <c r="L64" i="49"/>
  <c r="L67" i="49" s="1"/>
  <c r="L68" i="49" s="1"/>
  <c r="B64" i="49"/>
  <c r="B67" i="49" s="1"/>
  <c r="B68" i="49" s="1"/>
  <c r="G64" i="49"/>
  <c r="G66" i="49" s="1"/>
  <c r="N40" i="58" s="1"/>
  <c r="E64" i="49"/>
  <c r="E66" i="49" s="1"/>
  <c r="L9" i="58" s="1"/>
  <c r="Q64" i="49"/>
  <c r="Q67" i="49" s="1"/>
  <c r="Q68" i="49" s="1"/>
  <c r="I64" i="49"/>
  <c r="I67" i="49" s="1"/>
  <c r="I68" i="49" s="1"/>
  <c r="J64" i="49"/>
  <c r="J66" i="49" s="1"/>
  <c r="Q4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K66" i="49"/>
  <c r="R9" i="58" s="1"/>
  <c r="K67" i="49"/>
  <c r="K68" i="49" s="1"/>
  <c r="L48" i="49"/>
  <c r="S7" i="57" s="1"/>
  <c r="I48" i="49"/>
  <c r="P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89" i="52" s="1"/>
  <c r="J28" i="49"/>
  <c r="J30" i="49" s="1"/>
  <c r="Q33" i="52" s="1"/>
  <c r="K28" i="49"/>
  <c r="K30" i="49" s="1"/>
  <c r="R63" i="52" s="1"/>
  <c r="L28" i="49"/>
  <c r="L30" i="49" s="1"/>
  <c r="S4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K213" i="51" s="1"/>
  <c r="M11" i="49"/>
  <c r="M13" i="49" s="1"/>
  <c r="T213" i="51" s="1"/>
  <c r="C11" i="49"/>
  <c r="C14" i="49" s="1"/>
  <c r="C15" i="49" s="1"/>
  <c r="H11" i="49"/>
  <c r="H13" i="49" s="1"/>
  <c r="O213" i="51" s="1"/>
  <c r="F11" i="49"/>
  <c r="F13" i="49" s="1"/>
  <c r="M213" i="51" s="1"/>
  <c r="I11" i="49"/>
  <c r="I14" i="49" s="1"/>
  <c r="I15" i="49" s="1"/>
  <c r="K11" i="49"/>
  <c r="K13" i="49" s="1"/>
  <c r="R213" i="51" s="1"/>
  <c r="B11" i="49"/>
  <c r="B14" i="49" s="1"/>
  <c r="B15" i="49" s="1"/>
  <c r="N11" i="49"/>
  <c r="N14" i="49" s="1"/>
  <c r="N15" i="49" s="1"/>
  <c r="O11" i="49"/>
  <c r="E11" i="49"/>
  <c r="E13" i="49" s="1"/>
  <c r="L213" i="51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1" i="18"/>
  <c r="T232" i="18"/>
  <c r="T233" i="18"/>
  <c r="T234" i="18"/>
  <c r="T235" i="18"/>
  <c r="T236" i="18"/>
  <c r="T237" i="18"/>
  <c r="T238" i="18"/>
  <c r="T239" i="18"/>
  <c r="T240" i="18"/>
  <c r="T302" i="18"/>
  <c r="T549" i="17"/>
  <c r="T550" i="17"/>
  <c r="T559" i="17"/>
  <c r="T560" i="17"/>
  <c r="T561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91" i="17"/>
  <c r="T592" i="17"/>
  <c r="T593" i="17"/>
  <c r="T597" i="17"/>
  <c r="T598" i="17"/>
  <c r="T654" i="17"/>
  <c r="T634" i="16"/>
  <c r="T639" i="16"/>
  <c r="T640" i="16"/>
  <c r="T641" i="16"/>
  <c r="T642" i="16"/>
  <c r="T648" i="16"/>
  <c r="T649" i="16"/>
  <c r="T650" i="16"/>
  <c r="T651" i="16"/>
  <c r="T655" i="16"/>
  <c r="T656" i="16"/>
  <c r="T657" i="16"/>
  <c r="T658" i="16"/>
  <c r="T659" i="16"/>
  <c r="T665" i="16"/>
  <c r="T666" i="16"/>
  <c r="T667" i="16"/>
  <c r="T668" i="16"/>
  <c r="T669" i="16"/>
  <c r="T670" i="16"/>
  <c r="T671" i="16"/>
  <c r="T678" i="16"/>
  <c r="T679" i="16"/>
  <c r="T631" i="16"/>
  <c r="T632" i="16"/>
  <c r="T633" i="16"/>
  <c r="T680" i="16"/>
  <c r="T681" i="16"/>
  <c r="T682" i="16"/>
  <c r="T683" i="16"/>
  <c r="T684" i="16"/>
  <c r="T685" i="16"/>
  <c r="T686" i="16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3" i="15"/>
  <c r="T454" i="15"/>
  <c r="T455" i="15"/>
  <c r="T456" i="15"/>
  <c r="T457" i="15"/>
  <c r="T464" i="15"/>
  <c r="T465" i="15"/>
  <c r="T466" i="15"/>
  <c r="T467" i="15"/>
  <c r="T468" i="15"/>
  <c r="T469" i="15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919" i="14"/>
  <c r="T920" i="14"/>
  <c r="T936" i="14"/>
  <c r="T937" i="14"/>
  <c r="T988" i="14"/>
  <c r="T989" i="14"/>
  <c r="T990" i="14"/>
  <c r="T991" i="14"/>
  <c r="T992" i="14"/>
  <c r="T993" i="14"/>
  <c r="T994" i="14"/>
  <c r="T995" i="14"/>
  <c r="T996" i="14"/>
  <c r="T997" i="14"/>
  <c r="T502" i="17"/>
  <c r="T503" i="17"/>
  <c r="T504" i="17"/>
  <c r="T548" i="17"/>
  <c r="T500" i="17"/>
  <c r="T226" i="18"/>
  <c r="T227" i="18"/>
  <c r="T228" i="18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219" i="18"/>
  <c r="T222" i="18"/>
  <c r="T223" i="18"/>
  <c r="T224" i="18"/>
  <c r="T225" i="18"/>
  <c r="T229" i="18"/>
  <c r="T230" i="18"/>
  <c r="T473" i="17"/>
  <c r="T474" i="17"/>
  <c r="T475" i="17"/>
  <c r="T476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1" i="17"/>
  <c r="T511" i="16"/>
  <c r="T512" i="16"/>
  <c r="T513" i="16"/>
  <c r="T514" i="16"/>
  <c r="T515" i="16"/>
  <c r="T516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629" i="16"/>
  <c r="T630" i="16"/>
  <c r="T727" i="16"/>
  <c r="T728" i="16"/>
  <c r="T729" i="16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736" i="14"/>
  <c r="T737" i="14"/>
  <c r="T738" i="14"/>
  <c r="T739" i="14"/>
  <c r="T740" i="14"/>
  <c r="T741" i="14"/>
  <c r="T742" i="14"/>
  <c r="T743" i="14"/>
  <c r="T744" i="14"/>
  <c r="T745" i="14"/>
  <c r="T746" i="14"/>
  <c r="T753" i="14"/>
  <c r="T754" i="14"/>
  <c r="T775" i="14"/>
  <c r="T776" i="14"/>
  <c r="T777" i="14"/>
  <c r="T778" i="14"/>
  <c r="T779" i="14"/>
  <c r="T780" i="14"/>
  <c r="T781" i="14"/>
  <c r="T782" i="14"/>
  <c r="T783" i="14"/>
  <c r="T448" i="17"/>
  <c r="T449" i="17"/>
  <c r="T450" i="17"/>
  <c r="T451" i="17"/>
  <c r="T452" i="17"/>
  <c r="T453" i="17"/>
  <c r="T454" i="17"/>
  <c r="T455" i="17"/>
  <c r="T456" i="17"/>
  <c r="T457" i="17"/>
  <c r="T493" i="16"/>
  <c r="T494" i="16"/>
  <c r="T495" i="16"/>
  <c r="T496" i="16"/>
  <c r="T204" i="18"/>
  <c r="T208" i="18"/>
  <c r="T209" i="18"/>
  <c r="T437" i="17"/>
  <c r="T438" i="17"/>
  <c r="T442" i="17"/>
  <c r="T443" i="17"/>
  <c r="T444" i="17"/>
  <c r="T445" i="17"/>
  <c r="T446" i="17"/>
  <c r="T447" i="17"/>
  <c r="T458" i="17"/>
  <c r="T483" i="16"/>
  <c r="T486" i="16"/>
  <c r="T487" i="16"/>
  <c r="T488" i="16"/>
  <c r="T489" i="16"/>
  <c r="T490" i="16"/>
  <c r="T491" i="16"/>
  <c r="T492" i="16"/>
  <c r="T353" i="15"/>
  <c r="T354" i="15"/>
  <c r="T355" i="15"/>
  <c r="T356" i="15"/>
  <c r="T362" i="15"/>
  <c r="T363" i="15"/>
  <c r="T364" i="15"/>
  <c r="T365" i="15"/>
  <c r="T366" i="15"/>
  <c r="T367" i="15"/>
  <c r="T368" i="15"/>
  <c r="T369" i="15"/>
  <c r="T370" i="15"/>
  <c r="T371" i="15"/>
  <c r="T372" i="15"/>
  <c r="T375" i="15"/>
  <c r="T376" i="15"/>
  <c r="T377" i="15"/>
  <c r="T686" i="14"/>
  <c r="T687" i="14"/>
  <c r="T688" i="14"/>
  <c r="T689" i="14"/>
  <c r="T690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210" i="18"/>
  <c r="T211" i="18"/>
  <c r="T212" i="18"/>
  <c r="T213" i="18"/>
  <c r="T214" i="18"/>
  <c r="T215" i="18"/>
  <c r="T217" i="18"/>
  <c r="T218" i="18"/>
  <c r="T303" i="18"/>
  <c r="T304" i="18"/>
  <c r="T305" i="18"/>
  <c r="T667" i="14"/>
  <c r="T668" i="14"/>
  <c r="T669" i="14"/>
  <c r="T670" i="14"/>
  <c r="T671" i="14"/>
  <c r="T672" i="14"/>
  <c r="T673" i="14"/>
  <c r="T674" i="14"/>
  <c r="T675" i="14"/>
  <c r="T676" i="14"/>
  <c r="T677" i="14"/>
  <c r="T685" i="14"/>
  <c r="T727" i="14"/>
  <c r="T728" i="14"/>
  <c r="T734" i="14"/>
  <c r="T735" i="14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70" i="16"/>
  <c r="T471" i="16"/>
  <c r="T472" i="16"/>
  <c r="T473" i="16"/>
  <c r="T474" i="16"/>
  <c r="T475" i="16"/>
  <c r="T476" i="16"/>
  <c r="T477" i="16"/>
  <c r="T478" i="16"/>
  <c r="T479" i="16"/>
  <c r="T482" i="16"/>
  <c r="T497" i="16"/>
  <c r="T498" i="16"/>
  <c r="T499" i="16"/>
  <c r="T500" i="16"/>
  <c r="T501" i="16"/>
  <c r="T502" i="16"/>
  <c r="T503" i="16"/>
  <c r="T504" i="16"/>
  <c r="T655" i="14"/>
  <c r="T656" i="14"/>
  <c r="T657" i="14"/>
  <c r="T658" i="14"/>
  <c r="T659" i="14"/>
  <c r="T660" i="14"/>
  <c r="T661" i="14"/>
  <c r="T662" i="14"/>
  <c r="T663" i="14"/>
  <c r="T664" i="14"/>
  <c r="T665" i="14"/>
  <c r="T676" i="17"/>
  <c r="T677" i="17"/>
  <c r="T678" i="17"/>
  <c r="T765" i="17"/>
  <c r="T719" i="16"/>
  <c r="T720" i="16"/>
  <c r="T721" i="16"/>
  <c r="T722" i="16"/>
  <c r="T812" i="16"/>
  <c r="T514" i="15"/>
  <c r="T515" i="15"/>
  <c r="T582" i="15"/>
  <c r="T1010" i="14"/>
  <c r="T1005" i="14"/>
  <c r="T1006" i="14"/>
  <c r="T1007" i="14"/>
  <c r="T1008" i="14"/>
  <c r="T1009" i="14"/>
  <c r="T298" i="18"/>
  <c r="T675" i="17"/>
  <c r="T718" i="16"/>
  <c r="T1004" i="14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52" i="15"/>
  <c r="T378" i="15"/>
  <c r="T393" i="15"/>
  <c r="T394" i="15"/>
  <c r="T395" i="15"/>
  <c r="T396" i="15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36" i="17"/>
  <c r="T459" i="17"/>
  <c r="T460" i="17"/>
  <c r="T461" i="17"/>
  <c r="T462" i="17"/>
  <c r="T463" i="17"/>
  <c r="T193" i="18"/>
  <c r="T194" i="18"/>
  <c r="T195" i="18"/>
  <c r="T196" i="18"/>
  <c r="T197" i="18"/>
  <c r="T198" i="18"/>
  <c r="T199" i="18"/>
  <c r="T200" i="18"/>
  <c r="T203" i="18"/>
  <c r="T653" i="14"/>
  <c r="T654" i="14"/>
  <c r="T666" i="14"/>
  <c r="T784" i="14"/>
  <c r="T785" i="14"/>
  <c r="T786" i="14"/>
  <c r="T787" i="14"/>
  <c r="T788" i="14"/>
  <c r="T789" i="14"/>
  <c r="T790" i="14"/>
  <c r="T791" i="14"/>
  <c r="T998" i="14"/>
  <c r="T402" i="17"/>
  <c r="T403" i="17"/>
  <c r="T404" i="17"/>
  <c r="T464" i="17"/>
  <c r="T465" i="17"/>
  <c r="T471" i="17"/>
  <c r="T472" i="17"/>
  <c r="T655" i="17"/>
  <c r="T697" i="17"/>
  <c r="T698" i="17"/>
  <c r="T451" i="16"/>
  <c r="T452" i="16"/>
  <c r="T453" i="16"/>
  <c r="T454" i="16"/>
  <c r="T455" i="16"/>
  <c r="T468" i="16"/>
  <c r="T469" i="16"/>
  <c r="T505" i="16"/>
  <c r="T509" i="16"/>
  <c r="T190" i="18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392" i="17"/>
  <c r="T393" i="17"/>
  <c r="T394" i="17"/>
  <c r="T395" i="17"/>
  <c r="T396" i="17"/>
  <c r="T397" i="17"/>
  <c r="T383" i="17"/>
  <c r="T384" i="17"/>
  <c r="T385" i="17"/>
  <c r="T386" i="17"/>
  <c r="T387" i="17"/>
  <c r="T388" i="17"/>
  <c r="T389" i="17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97" i="15"/>
  <c r="T398" i="15"/>
  <c r="T399" i="15"/>
  <c r="T400" i="15"/>
  <c r="T401" i="15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333" i="18"/>
  <c r="T334" i="18"/>
  <c r="T699" i="17"/>
  <c r="T764" i="17"/>
  <c r="T733" i="16"/>
  <c r="T481" i="15"/>
  <c r="T521" i="15"/>
  <c r="T522" i="15"/>
  <c r="T523" i="15"/>
  <c r="T1011" i="14"/>
  <c r="T1057" i="14"/>
  <c r="T1058" i="14"/>
  <c r="T1059" i="14"/>
  <c r="X153" i="2"/>
  <c r="T188" i="18"/>
  <c r="T189" i="18"/>
  <c r="T191" i="18"/>
  <c r="T192" i="18"/>
  <c r="T391" i="17"/>
  <c r="T398" i="17"/>
  <c r="T399" i="17"/>
  <c r="T400" i="17"/>
  <c r="T401" i="17"/>
  <c r="T447" i="16"/>
  <c r="T448" i="16"/>
  <c r="T449" i="16"/>
  <c r="T450" i="16"/>
  <c r="T510" i="16"/>
  <c r="T732" i="16"/>
  <c r="T315" i="15"/>
  <c r="T402" i="15"/>
  <c r="T403" i="15"/>
  <c r="T438" i="15"/>
  <c r="T470" i="15"/>
  <c r="T480" i="15"/>
  <c r="T619" i="14"/>
  <c r="T636" i="14"/>
  <c r="T637" i="14"/>
  <c r="T638" i="14"/>
  <c r="T639" i="14"/>
  <c r="T640" i="14"/>
  <c r="T571" i="14"/>
  <c r="T572" i="14"/>
  <c r="T578" i="14"/>
  <c r="T579" i="14"/>
  <c r="T580" i="14"/>
  <c r="T581" i="14"/>
  <c r="T582" i="14"/>
  <c r="T583" i="14"/>
  <c r="T602" i="14"/>
  <c r="T603" i="14"/>
  <c r="T604" i="14"/>
  <c r="T343" i="17"/>
  <c r="T352" i="17"/>
  <c r="T353" i="17"/>
  <c r="T354" i="17"/>
  <c r="T355" i="17"/>
  <c r="T356" i="17"/>
  <c r="T357" i="17"/>
  <c r="T358" i="17"/>
  <c r="T366" i="17"/>
  <c r="T387" i="16"/>
  <c r="T388" i="16"/>
  <c r="T389" i="16"/>
  <c r="T390" i="16"/>
  <c r="T391" i="16"/>
  <c r="T392" i="16"/>
  <c r="T407" i="16"/>
  <c r="T408" i="16"/>
  <c r="T409" i="16"/>
  <c r="T542" i="14"/>
  <c r="T543" i="14"/>
  <c r="T544" i="14"/>
  <c r="T545" i="14"/>
  <c r="T546" i="14"/>
  <c r="T547" i="14"/>
  <c r="T561" i="14"/>
  <c r="T562" i="14"/>
  <c r="T563" i="14"/>
  <c r="T564" i="14"/>
  <c r="T565" i="14"/>
  <c r="T566" i="14"/>
  <c r="T169" i="18"/>
  <c r="T173" i="18"/>
  <c r="T174" i="18"/>
  <c r="T331" i="17"/>
  <c r="T338" i="17"/>
  <c r="T339" i="17"/>
  <c r="T340" i="17"/>
  <c r="T341" i="17"/>
  <c r="T342" i="17"/>
  <c r="T363" i="16"/>
  <c r="T364" i="16"/>
  <c r="T373" i="16"/>
  <c r="T374" i="16"/>
  <c r="T375" i="16"/>
  <c r="T376" i="16"/>
  <c r="T381" i="16"/>
  <c r="T382" i="16"/>
  <c r="T383" i="16"/>
  <c r="T384" i="16"/>
  <c r="T386" i="16"/>
  <c r="T410" i="16"/>
  <c r="T316" i="17"/>
  <c r="T317" i="17"/>
  <c r="T327" i="17"/>
  <c r="T328" i="17"/>
  <c r="T329" i="17"/>
  <c r="T330" i="17"/>
  <c r="T367" i="17"/>
  <c r="T274" i="15"/>
  <c r="T279" i="15"/>
  <c r="T280" i="15"/>
  <c r="T283" i="15"/>
  <c r="T284" i="15"/>
  <c r="T285" i="15"/>
  <c r="T286" i="15"/>
  <c r="T291" i="15"/>
  <c r="T182" i="17"/>
  <c r="T183" i="17"/>
  <c r="T184" i="17"/>
  <c r="T185" i="17"/>
  <c r="T186" i="17"/>
  <c r="T212" i="16"/>
  <c r="T213" i="16"/>
  <c r="T214" i="16"/>
  <c r="T157" i="15"/>
  <c r="T294" i="14"/>
  <c r="T295" i="14"/>
  <c r="T296" i="14"/>
  <c r="T297" i="14"/>
  <c r="T94" i="18"/>
  <c r="T181" i="17"/>
  <c r="T211" i="16"/>
  <c r="T156" i="15"/>
  <c r="T293" i="14"/>
  <c r="X51" i="2"/>
  <c r="T157" i="18"/>
  <c r="T158" i="18"/>
  <c r="T159" i="18"/>
  <c r="T164" i="18"/>
  <c r="T165" i="18"/>
  <c r="T247" i="15"/>
  <c r="T248" i="15"/>
  <c r="T249" i="15"/>
  <c r="T271" i="15"/>
  <c r="T272" i="15"/>
  <c r="T273" i="15"/>
  <c r="T484" i="14"/>
  <c r="T485" i="14"/>
  <c r="T504" i="14"/>
  <c r="T505" i="14"/>
  <c r="T506" i="14"/>
  <c r="T507" i="14"/>
  <c r="T508" i="14"/>
  <c r="T509" i="14"/>
  <c r="T510" i="14"/>
  <c r="T511" i="14"/>
  <c r="T512" i="14"/>
  <c r="T513" i="14"/>
  <c r="T527" i="14"/>
  <c r="T528" i="14"/>
  <c r="T529" i="14"/>
  <c r="T530" i="14"/>
  <c r="T531" i="14"/>
  <c r="T537" i="14"/>
  <c r="T538" i="14"/>
  <c r="T300" i="17"/>
  <c r="T310" i="17"/>
  <c r="T311" i="17"/>
  <c r="T312" i="17"/>
  <c r="T313" i="17"/>
  <c r="T335" i="16"/>
  <c r="T336" i="16"/>
  <c r="T337" i="16"/>
  <c r="T338" i="16"/>
  <c r="T339" i="16"/>
  <c r="T354" i="16"/>
  <c r="T355" i="16"/>
  <c r="T356" i="16"/>
  <c r="T357" i="16"/>
  <c r="T358" i="16"/>
  <c r="T359" i="16"/>
  <c r="T240" i="15"/>
  <c r="T241" i="15"/>
  <c r="T242" i="15"/>
  <c r="T243" i="15"/>
  <c r="T244" i="15"/>
  <c r="T245" i="15"/>
  <c r="T459" i="14"/>
  <c r="T474" i="14"/>
  <c r="T475" i="14"/>
  <c r="T476" i="14"/>
  <c r="T477" i="14"/>
  <c r="T478" i="14"/>
  <c r="T479" i="14"/>
  <c r="T480" i="14"/>
  <c r="T481" i="14"/>
  <c r="T71" i="18"/>
  <c r="T72" i="18"/>
  <c r="T73" i="18"/>
  <c r="T121" i="17"/>
  <c r="T122" i="17"/>
  <c r="T123" i="17"/>
  <c r="T124" i="17"/>
  <c r="T153" i="16"/>
  <c r="T154" i="16"/>
  <c r="T155" i="16"/>
  <c r="T156" i="16"/>
  <c r="T113" i="15"/>
  <c r="T218" i="14"/>
  <c r="T219" i="14"/>
  <c r="T220" i="14"/>
  <c r="T215" i="14"/>
  <c r="T216" i="14"/>
  <c r="T217" i="14"/>
  <c r="X38" i="2"/>
  <c r="T263" i="17"/>
  <c r="T264" i="17"/>
  <c r="T265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04" i="15"/>
  <c r="T205" i="15"/>
  <c r="T206" i="15"/>
  <c r="T207" i="15"/>
  <c r="T217" i="15"/>
  <c r="T218" i="15"/>
  <c r="T219" i="15"/>
  <c r="T220" i="15"/>
  <c r="T221" i="15"/>
  <c r="T222" i="15"/>
  <c r="T427" i="14"/>
  <c r="T428" i="14"/>
  <c r="T429" i="14"/>
  <c r="T430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126" i="18"/>
  <c r="T127" i="18"/>
  <c r="T128" i="18"/>
  <c r="T132" i="18"/>
  <c r="T302" i="16"/>
  <c r="T303" i="16"/>
  <c r="T304" i="16"/>
  <c r="T305" i="16"/>
  <c r="T309" i="16"/>
  <c r="T310" i="16"/>
  <c r="T311" i="16"/>
  <c r="T312" i="16"/>
  <c r="T313" i="16"/>
  <c r="T314" i="16"/>
  <c r="T315" i="16"/>
  <c r="T316" i="16"/>
  <c r="T317" i="16"/>
  <c r="T318" i="16"/>
  <c r="T245" i="17"/>
  <c r="T246" i="17"/>
  <c r="T247" i="17"/>
  <c r="T248" i="17"/>
  <c r="T249" i="17"/>
  <c r="T250" i="17"/>
  <c r="T251" i="17"/>
  <c r="T252" i="17"/>
  <c r="T256" i="17"/>
  <c r="T257" i="17"/>
  <c r="T186" i="15"/>
  <c r="T187" i="15"/>
  <c r="T188" i="15"/>
  <c r="T189" i="15"/>
  <c r="T190" i="15"/>
  <c r="T193" i="15"/>
  <c r="T194" i="15"/>
  <c r="T195" i="15"/>
  <c r="T196" i="15"/>
  <c r="T197" i="15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451" i="14"/>
  <c r="T452" i="14"/>
  <c r="T453" i="14"/>
  <c r="T454" i="14"/>
  <c r="T455" i="14"/>
  <c r="T456" i="14"/>
  <c r="T457" i="14"/>
  <c r="T458" i="14"/>
  <c r="T482" i="14"/>
  <c r="T483" i="14"/>
  <c r="T539" i="14"/>
  <c r="T540" i="14"/>
  <c r="T541" i="14"/>
  <c r="T567" i="14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96" i="17"/>
  <c r="T297" i="17"/>
  <c r="T298" i="17"/>
  <c r="T299" i="17"/>
  <c r="T314" i="17"/>
  <c r="T315" i="17"/>
  <c r="T368" i="17"/>
  <c r="T378" i="17"/>
  <c r="T379" i="17"/>
  <c r="T380" i="17"/>
  <c r="T381" i="17"/>
  <c r="T382" i="17"/>
  <c r="T390" i="17"/>
  <c r="T292" i="15"/>
  <c r="T293" i="15"/>
  <c r="T294" i="15"/>
  <c r="T297" i="15"/>
  <c r="T298" i="15"/>
  <c r="T299" i="15"/>
  <c r="T313" i="15"/>
  <c r="T314" i="15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409" i="14"/>
  <c r="T410" i="14"/>
  <c r="T411" i="14"/>
  <c r="T412" i="14"/>
  <c r="T180" i="15"/>
  <c r="T181" i="15"/>
  <c r="T182" i="15"/>
  <c r="T183" i="15"/>
  <c r="T184" i="15"/>
  <c r="T185" i="15"/>
  <c r="T198" i="15"/>
  <c r="T199" i="15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92" i="16"/>
  <c r="T293" i="16"/>
  <c r="T294" i="16"/>
  <c r="T319" i="16"/>
  <c r="T320" i="16"/>
  <c r="T321" i="16"/>
  <c r="T322" i="16"/>
  <c r="T332" i="16"/>
  <c r="T333" i="16"/>
  <c r="T334" i="16"/>
  <c r="T360" i="16"/>
  <c r="T361" i="16"/>
  <c r="T362" i="16"/>
  <c r="T414" i="16"/>
  <c r="T415" i="16"/>
  <c r="T416" i="16"/>
  <c r="T417" i="16"/>
  <c r="T114" i="18"/>
  <c r="T115" i="18"/>
  <c r="T116" i="18"/>
  <c r="T117" i="18"/>
  <c r="T118" i="18"/>
  <c r="T119" i="18"/>
  <c r="T120" i="18"/>
  <c r="T121" i="18"/>
  <c r="T122" i="18"/>
  <c r="T125" i="18"/>
  <c r="T133" i="18"/>
  <c r="T134" i="18"/>
  <c r="T135" i="18"/>
  <c r="T136" i="18"/>
  <c r="T141" i="18"/>
  <c r="T142" i="18"/>
  <c r="T144" i="18"/>
  <c r="T145" i="18"/>
  <c r="T146" i="18"/>
  <c r="T156" i="18"/>
  <c r="T167" i="18"/>
  <c r="T168" i="18"/>
  <c r="T175" i="18"/>
  <c r="T176" i="18"/>
  <c r="T176" i="15"/>
  <c r="T177" i="15"/>
  <c r="T178" i="15"/>
  <c r="T179" i="15"/>
  <c r="T200" i="15"/>
  <c r="T201" i="15"/>
  <c r="T202" i="15"/>
  <c r="T222" i="17"/>
  <c r="T223" i="17"/>
  <c r="T224" i="17"/>
  <c r="T225" i="17"/>
  <c r="T226" i="17"/>
  <c r="T239" i="17"/>
  <c r="T240" i="17"/>
  <c r="T241" i="17"/>
  <c r="T242" i="17"/>
  <c r="T243" i="17"/>
  <c r="T244" i="17"/>
  <c r="T223" i="16"/>
  <c r="T224" i="16"/>
  <c r="T225" i="16"/>
  <c r="T226" i="16"/>
  <c r="T227" i="16"/>
  <c r="T228" i="16"/>
  <c r="T235" i="16"/>
  <c r="T236" i="16"/>
  <c r="T237" i="16"/>
  <c r="T238" i="16"/>
  <c r="T244" i="16"/>
  <c r="T245" i="16"/>
  <c r="T246" i="16"/>
  <c r="T247" i="16"/>
  <c r="T248" i="16"/>
  <c r="T254" i="16"/>
  <c r="T255" i="16"/>
  <c r="T256" i="16"/>
  <c r="T257" i="16"/>
  <c r="T258" i="16"/>
  <c r="T85" i="18"/>
  <c r="T86" i="18"/>
  <c r="T87" i="18"/>
  <c r="T88" i="18"/>
  <c r="T89" i="18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75" i="17"/>
  <c r="T176" i="17"/>
  <c r="T177" i="17"/>
  <c r="T178" i="17"/>
  <c r="T179" i="17"/>
  <c r="T180" i="17"/>
  <c r="T192" i="17"/>
  <c r="T194" i="17"/>
  <c r="T195" i="17"/>
  <c r="T196" i="17"/>
  <c r="T200" i="17"/>
  <c r="T201" i="17"/>
  <c r="T202" i="17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138" i="17"/>
  <c r="T139" i="17"/>
  <c r="T140" i="17"/>
  <c r="T141" i="17"/>
  <c r="T142" i="17"/>
  <c r="T143" i="17"/>
  <c r="T144" i="17"/>
  <c r="T145" i="17"/>
  <c r="T149" i="17"/>
  <c r="T150" i="17"/>
  <c r="T203" i="17"/>
  <c r="T204" i="17"/>
  <c r="T169" i="16"/>
  <c r="T170" i="16"/>
  <c r="T171" i="16"/>
  <c r="T172" i="16"/>
  <c r="T173" i="16"/>
  <c r="T174" i="16"/>
  <c r="T175" i="16"/>
  <c r="T176" i="16"/>
  <c r="T177" i="16"/>
  <c r="T178" i="16"/>
  <c r="T179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8" i="16"/>
  <c r="T209" i="16"/>
  <c r="T133" i="15"/>
  <c r="T134" i="15"/>
  <c r="T135" i="15"/>
  <c r="T136" i="15"/>
  <c r="T137" i="15"/>
  <c r="T138" i="15"/>
  <c r="T146" i="15"/>
  <c r="T147" i="15"/>
  <c r="T148" i="15"/>
  <c r="T149" i="15"/>
  <c r="T150" i="15"/>
  <c r="T151" i="15"/>
  <c r="T154" i="15"/>
  <c r="T155" i="15"/>
  <c r="T160" i="15"/>
  <c r="T161" i="15"/>
  <c r="T276" i="14"/>
  <c r="T277" i="14"/>
  <c r="T278" i="14"/>
  <c r="T279" i="14"/>
  <c r="T280" i="14"/>
  <c r="T288" i="14"/>
  <c r="T289" i="14"/>
  <c r="T290" i="14"/>
  <c r="T291" i="14"/>
  <c r="T292" i="14"/>
  <c r="T303" i="14"/>
  <c r="T304" i="14"/>
  <c r="T305" i="14"/>
  <c r="T306" i="14"/>
  <c r="T307" i="14"/>
  <c r="T308" i="14"/>
  <c r="T309" i="14"/>
  <c r="T310" i="14"/>
  <c r="T320" i="14"/>
  <c r="T321" i="14"/>
  <c r="T322" i="14"/>
  <c r="T323" i="14"/>
  <c r="T324" i="14"/>
  <c r="T331" i="14"/>
  <c r="T332" i="14"/>
  <c r="T333" i="14"/>
  <c r="T334" i="14"/>
  <c r="T335" i="14"/>
  <c r="T336" i="14"/>
  <c r="T343" i="14"/>
  <c r="T344" i="14"/>
  <c r="T345" i="14"/>
  <c r="T346" i="14"/>
  <c r="T347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213" i="17"/>
  <c r="T214" i="17"/>
  <c r="T215" i="17"/>
  <c r="T220" i="17"/>
  <c r="T221" i="17"/>
  <c r="T258" i="17"/>
  <c r="T259" i="17"/>
  <c r="T260" i="17"/>
  <c r="T261" i="17"/>
  <c r="T262" i="17"/>
  <c r="T295" i="17"/>
  <c r="T264" i="16"/>
  <c r="T265" i="16"/>
  <c r="T266" i="16"/>
  <c r="T418" i="16"/>
  <c r="T433" i="16"/>
  <c r="T110" i="17"/>
  <c r="T114" i="17"/>
  <c r="T115" i="17"/>
  <c r="T116" i="17"/>
  <c r="T117" i="17"/>
  <c r="T118" i="17"/>
  <c r="T129" i="16"/>
  <c r="T130" i="16"/>
  <c r="T131" i="16"/>
  <c r="T132" i="16"/>
  <c r="T133" i="16"/>
  <c r="T135" i="16"/>
  <c r="T144" i="16"/>
  <c r="T145" i="16"/>
  <c r="T146" i="16"/>
  <c r="T147" i="16"/>
  <c r="T148" i="16"/>
  <c r="T104" i="15"/>
  <c r="T105" i="15"/>
  <c r="T106" i="15"/>
  <c r="T107" i="15"/>
  <c r="T110" i="15"/>
  <c r="T111" i="15"/>
  <c r="T112" i="15"/>
  <c r="T115" i="15"/>
  <c r="T116" i="15"/>
  <c r="T117" i="15"/>
  <c r="T118" i="15"/>
  <c r="T119" i="15"/>
  <c r="T181" i="14"/>
  <c r="T182" i="14"/>
  <c r="T188" i="14"/>
  <c r="T189" i="14"/>
  <c r="T190" i="14"/>
  <c r="T191" i="14"/>
  <c r="T192" i="14"/>
  <c r="T193" i="14"/>
  <c r="T194" i="14"/>
  <c r="T195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0" i="18"/>
  <c r="T61" i="18"/>
  <c r="T62" i="18"/>
  <c r="T63" i="18"/>
  <c r="T67" i="18"/>
  <c r="T68" i="18"/>
  <c r="T69" i="18"/>
  <c r="T70" i="18"/>
  <c r="T76" i="18"/>
  <c r="T77" i="18"/>
  <c r="T78" i="18"/>
  <c r="T79" i="18"/>
  <c r="T80" i="18"/>
  <c r="T84" i="18"/>
  <c r="T90" i="18"/>
  <c r="T93" i="18"/>
  <c r="T97" i="18"/>
  <c r="T99" i="18"/>
  <c r="T101" i="18"/>
  <c r="T103" i="18"/>
  <c r="T104" i="18"/>
  <c r="T108" i="18"/>
  <c r="T109" i="18"/>
  <c r="T110" i="18"/>
  <c r="T111" i="18"/>
  <c r="T112" i="18"/>
  <c r="T113" i="18"/>
  <c r="T180" i="18"/>
  <c r="T185" i="18"/>
  <c r="T186" i="18"/>
  <c r="T18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5" i="17"/>
  <c r="T106" i="17"/>
  <c r="T107" i="17"/>
  <c r="T108" i="17"/>
  <c r="T109" i="17"/>
  <c r="T119" i="17"/>
  <c r="T120" i="17"/>
  <c r="T129" i="17"/>
  <c r="T130" i="17"/>
  <c r="T131" i="17"/>
  <c r="T132" i="17"/>
  <c r="T133" i="17"/>
  <c r="T134" i="17"/>
  <c r="T135" i="17"/>
  <c r="T136" i="17"/>
  <c r="T137" i="17"/>
  <c r="T205" i="17"/>
  <c r="T21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2" i="16"/>
  <c r="T123" i="16"/>
  <c r="T124" i="16"/>
  <c r="T125" i="16"/>
  <c r="T126" i="16"/>
  <c r="T127" i="16"/>
  <c r="T149" i="16"/>
  <c r="T150" i="16"/>
  <c r="T151" i="16"/>
  <c r="T152" i="16"/>
  <c r="T159" i="16"/>
  <c r="T160" i="16"/>
  <c r="T161" i="16"/>
  <c r="T162" i="16"/>
  <c r="T163" i="16"/>
  <c r="T164" i="16"/>
  <c r="T165" i="16"/>
  <c r="T166" i="16"/>
  <c r="T167" i="16"/>
  <c r="T168" i="16"/>
  <c r="T210" i="16"/>
  <c r="T221" i="16"/>
  <c r="T259" i="16"/>
  <c r="T260" i="16"/>
  <c r="T261" i="16"/>
  <c r="T262" i="16"/>
  <c r="T263" i="16"/>
  <c r="T2" i="15"/>
  <c r="T174" i="15"/>
  <c r="T175" i="15"/>
  <c r="T203" i="15"/>
  <c r="T223" i="15"/>
  <c r="T236" i="15"/>
  <c r="T237" i="15"/>
  <c r="T238" i="15"/>
  <c r="T239" i="15"/>
  <c r="T246" i="15"/>
  <c r="T67" i="15"/>
  <c r="T70" i="15"/>
  <c r="T93" i="15"/>
  <c r="T94" i="15"/>
  <c r="T95" i="15"/>
  <c r="T96" i="15"/>
  <c r="T97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64" i="15"/>
  <c r="T165" i="15"/>
  <c r="T168" i="15"/>
  <c r="T169" i="15"/>
  <c r="T172" i="15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V21" i="59" l="1"/>
  <c r="Q21" i="59"/>
  <c r="S21" i="59"/>
  <c r="Q42" i="58"/>
  <c r="Q33" i="58"/>
  <c r="Q94" i="52"/>
  <c r="Q95" i="52"/>
  <c r="R95" i="52"/>
  <c r="V95" i="52"/>
  <c r="N94" i="52"/>
  <c r="N95" i="52"/>
  <c r="V94" i="52"/>
  <c r="R94" i="52"/>
  <c r="S95" i="52"/>
  <c r="K21" i="59"/>
  <c r="I20" i="59"/>
  <c r="M21" i="59"/>
  <c r="I14" i="59"/>
  <c r="E83" i="49"/>
  <c r="T21" i="59"/>
  <c r="C84" i="49"/>
  <c r="C85" i="49" s="1"/>
  <c r="B84" i="49"/>
  <c r="B85" i="49" s="1"/>
  <c r="I21" i="59"/>
  <c r="N21" i="59"/>
  <c r="Q39" i="58"/>
  <c r="T29" i="57"/>
  <c r="T56" i="57"/>
  <c r="J54" i="57"/>
  <c r="J18" i="57"/>
  <c r="J9" i="57"/>
  <c r="S45" i="57"/>
  <c r="S18" i="57"/>
  <c r="N40" i="52"/>
  <c r="N43" i="52"/>
  <c r="R85" i="52"/>
  <c r="M212" i="51"/>
  <c r="O212" i="51"/>
  <c r="K212" i="51"/>
  <c r="T212" i="51"/>
  <c r="L212" i="51"/>
  <c r="R212" i="51"/>
  <c r="T211" i="51"/>
  <c r="M16" i="59"/>
  <c r="M13" i="59"/>
  <c r="M4" i="59"/>
  <c r="L19" i="59"/>
  <c r="L10" i="59"/>
  <c r="J11" i="59"/>
  <c r="J3" i="59"/>
  <c r="J12" i="59"/>
  <c r="J14" i="59"/>
  <c r="J10" i="59"/>
  <c r="J20" i="59"/>
  <c r="J6" i="59"/>
  <c r="J15" i="59"/>
  <c r="J5" i="59"/>
  <c r="J4" i="59"/>
  <c r="J13" i="59"/>
  <c r="J9" i="59"/>
  <c r="J18" i="59"/>
  <c r="J2" i="59"/>
  <c r="J7" i="59"/>
  <c r="J16" i="59"/>
  <c r="J8" i="59"/>
  <c r="J19" i="59"/>
  <c r="J17" i="59"/>
  <c r="R8" i="59"/>
  <c r="R17" i="59"/>
  <c r="R3" i="59"/>
  <c r="R9" i="59"/>
  <c r="R12" i="59"/>
  <c r="R4" i="59"/>
  <c r="R13" i="59"/>
  <c r="R20" i="59"/>
  <c r="R15" i="59"/>
  <c r="R2" i="59"/>
  <c r="R11" i="59"/>
  <c r="R18" i="59"/>
  <c r="R6" i="59"/>
  <c r="R7" i="59"/>
  <c r="R16" i="59"/>
  <c r="R5" i="59"/>
  <c r="R14" i="59"/>
  <c r="R10" i="59"/>
  <c r="R19" i="59"/>
  <c r="I5" i="59"/>
  <c r="K16" i="59"/>
  <c r="K7" i="59"/>
  <c r="V16" i="59"/>
  <c r="V7" i="59"/>
  <c r="Q17" i="59"/>
  <c r="Q8" i="59"/>
  <c r="L18" i="59"/>
  <c r="L9" i="59"/>
  <c r="M20" i="59"/>
  <c r="M11" i="59"/>
  <c r="M2" i="59"/>
  <c r="T12" i="59"/>
  <c r="T3" i="59"/>
  <c r="K14" i="59"/>
  <c r="K5" i="59"/>
  <c r="N4" i="59"/>
  <c r="T5" i="59"/>
  <c r="K18" i="59"/>
  <c r="K9" i="59"/>
  <c r="V18" i="59"/>
  <c r="V9" i="59"/>
  <c r="Q19" i="59"/>
  <c r="Q10" i="59"/>
  <c r="N19" i="59"/>
  <c r="T14" i="59"/>
  <c r="Q12" i="59"/>
  <c r="Q3" i="59"/>
  <c r="S14" i="59"/>
  <c r="S5" i="59"/>
  <c r="N15" i="59"/>
  <c r="N6" i="59"/>
  <c r="I16" i="59"/>
  <c r="I7" i="59"/>
  <c r="T16" i="59"/>
  <c r="T7" i="59"/>
  <c r="L20" i="59"/>
  <c r="L11" i="59"/>
  <c r="L2" i="59"/>
  <c r="S12" i="59"/>
  <c r="S3" i="59"/>
  <c r="N16" i="59"/>
  <c r="M15" i="59"/>
  <c r="M6" i="59"/>
  <c r="S16" i="59"/>
  <c r="S7" i="59"/>
  <c r="N17" i="59"/>
  <c r="N8" i="59"/>
  <c r="I18" i="59"/>
  <c r="I9" i="59"/>
  <c r="N10" i="59"/>
  <c r="M84" i="49"/>
  <c r="M85" i="49" s="1"/>
  <c r="I11" i="59"/>
  <c r="I2" i="59"/>
  <c r="K13" i="59"/>
  <c r="K4" i="59"/>
  <c r="V13" i="59"/>
  <c r="V4" i="59"/>
  <c r="Q14" i="59"/>
  <c r="Q5" i="59"/>
  <c r="L15" i="59"/>
  <c r="L6" i="59"/>
  <c r="M17" i="59"/>
  <c r="M8" i="59"/>
  <c r="T18" i="59"/>
  <c r="T9" i="59"/>
  <c r="K20" i="59"/>
  <c r="K11" i="59"/>
  <c r="K2" i="59"/>
  <c r="N7" i="59"/>
  <c r="L4" i="59"/>
  <c r="M19" i="59"/>
  <c r="M10" i="59"/>
  <c r="T20" i="59"/>
  <c r="T11" i="59"/>
  <c r="T2" i="59"/>
  <c r="K15" i="59"/>
  <c r="K6" i="59"/>
  <c r="V15" i="59"/>
  <c r="V6" i="59"/>
  <c r="Q16" i="59"/>
  <c r="Q7" i="59"/>
  <c r="V8" i="59"/>
  <c r="L13" i="59"/>
  <c r="Q18" i="59"/>
  <c r="Q9" i="59"/>
  <c r="S20" i="59"/>
  <c r="S11" i="59"/>
  <c r="S2" i="59"/>
  <c r="N12" i="59"/>
  <c r="N3" i="59"/>
  <c r="I13" i="59"/>
  <c r="I4" i="59"/>
  <c r="T13" i="59"/>
  <c r="T4" i="59"/>
  <c r="L17" i="59"/>
  <c r="L8" i="59"/>
  <c r="S18" i="59"/>
  <c r="S9" i="59"/>
  <c r="V20" i="59"/>
  <c r="M12" i="59"/>
  <c r="M3" i="59"/>
  <c r="S13" i="59"/>
  <c r="S4" i="59"/>
  <c r="N14" i="59"/>
  <c r="N5" i="59"/>
  <c r="I15" i="59"/>
  <c r="I6" i="59"/>
  <c r="V17" i="59"/>
  <c r="I17" i="59"/>
  <c r="I8" i="59"/>
  <c r="K19" i="59"/>
  <c r="K10" i="59"/>
  <c r="V19" i="59"/>
  <c r="V10" i="59"/>
  <c r="Q20" i="59"/>
  <c r="Q11" i="59"/>
  <c r="Q2" i="59"/>
  <c r="L12" i="59"/>
  <c r="L3" i="59"/>
  <c r="M14" i="59"/>
  <c r="M5" i="59"/>
  <c r="T15" i="59"/>
  <c r="T6" i="59"/>
  <c r="K17" i="59"/>
  <c r="K8" i="59"/>
  <c r="V14" i="59"/>
  <c r="K12" i="59"/>
  <c r="V12" i="59"/>
  <c r="V3" i="59"/>
  <c r="Q13" i="59"/>
  <c r="Q4" i="59"/>
  <c r="V11" i="59"/>
  <c r="T17" i="59"/>
  <c r="K84" i="49"/>
  <c r="K85" i="49" s="1"/>
  <c r="Q15" i="59"/>
  <c r="S17" i="59"/>
  <c r="S8" i="59"/>
  <c r="N18" i="59"/>
  <c r="N9" i="59"/>
  <c r="I19" i="59"/>
  <c r="I10" i="59"/>
  <c r="T19" i="59"/>
  <c r="T10" i="59"/>
  <c r="L14" i="59"/>
  <c r="L5" i="59"/>
  <c r="S15" i="59"/>
  <c r="S6" i="59"/>
  <c r="V5" i="59"/>
  <c r="L16" i="59"/>
  <c r="M18" i="59"/>
  <c r="S19" i="59"/>
  <c r="N20" i="59"/>
  <c r="N11" i="59"/>
  <c r="N2" i="59"/>
  <c r="I12" i="59"/>
  <c r="U32" i="58"/>
  <c r="U5" i="58"/>
  <c r="Q38" i="58"/>
  <c r="O14" i="58"/>
  <c r="Q3" i="58"/>
  <c r="U37" i="58"/>
  <c r="O5" i="58"/>
  <c r="U26" i="58"/>
  <c r="T41" i="58"/>
  <c r="Q29" i="58"/>
  <c r="U39" i="58"/>
  <c r="Q24" i="58"/>
  <c r="L40" i="58"/>
  <c r="U28" i="58"/>
  <c r="U30" i="58"/>
  <c r="U23" i="58"/>
  <c r="L37" i="58"/>
  <c r="Q20" i="58"/>
  <c r="U21" i="58"/>
  <c r="Q21" i="58"/>
  <c r="T32" i="58"/>
  <c r="U19" i="58"/>
  <c r="U12" i="58"/>
  <c r="U17" i="58"/>
  <c r="L28" i="58"/>
  <c r="Q11" i="58"/>
  <c r="U3" i="58"/>
  <c r="Q15" i="58"/>
  <c r="T23" i="58"/>
  <c r="U10" i="58"/>
  <c r="L38" i="58"/>
  <c r="U41" i="58"/>
  <c r="U14" i="58"/>
  <c r="L19" i="58"/>
  <c r="Q2" i="58"/>
  <c r="L29" i="58"/>
  <c r="Q12" i="58"/>
  <c r="T14" i="58"/>
  <c r="O41" i="58"/>
  <c r="L20" i="58"/>
  <c r="U35" i="58"/>
  <c r="U8" i="58"/>
  <c r="L10" i="58"/>
  <c r="O32" i="58"/>
  <c r="L11" i="58"/>
  <c r="Q6" i="58"/>
  <c r="T5" i="58"/>
  <c r="L2" i="58"/>
  <c r="R2" i="58"/>
  <c r="N41" i="58"/>
  <c r="R3" i="58"/>
  <c r="O33" i="58"/>
  <c r="O15" i="58"/>
  <c r="O12" i="58"/>
  <c r="O42" i="58"/>
  <c r="O36" i="58"/>
  <c r="O27" i="58"/>
  <c r="O6" i="58"/>
  <c r="O9" i="58"/>
  <c r="O24" i="58"/>
  <c r="O21" i="58"/>
  <c r="O18" i="58"/>
  <c r="O30" i="58"/>
  <c r="O3" i="58"/>
  <c r="L31" i="58"/>
  <c r="L22" i="58"/>
  <c r="L13" i="58"/>
  <c r="L4" i="58"/>
  <c r="L42" i="58"/>
  <c r="L33" i="58"/>
  <c r="L24" i="58"/>
  <c r="L15" i="58"/>
  <c r="L6" i="58"/>
  <c r="R40" i="58"/>
  <c r="R31" i="58"/>
  <c r="R22" i="58"/>
  <c r="R13" i="58"/>
  <c r="R4" i="58"/>
  <c r="O39" i="58"/>
  <c r="N34" i="58"/>
  <c r="N5" i="58"/>
  <c r="R39" i="58"/>
  <c r="Q35" i="58"/>
  <c r="Q26" i="58"/>
  <c r="Q17" i="58"/>
  <c r="Q8" i="58"/>
  <c r="T36" i="58"/>
  <c r="T27" i="58"/>
  <c r="T18" i="58"/>
  <c r="T9" i="58"/>
  <c r="N31" i="58"/>
  <c r="N43" i="58"/>
  <c r="R38" i="58"/>
  <c r="N23" i="58"/>
  <c r="N14" i="58"/>
  <c r="R42" i="58"/>
  <c r="T38" i="58"/>
  <c r="T29" i="58"/>
  <c r="T20" i="58"/>
  <c r="T11" i="58"/>
  <c r="T2" i="58"/>
  <c r="N36" i="58"/>
  <c r="N27" i="58"/>
  <c r="N18" i="58"/>
  <c r="N9" i="58"/>
  <c r="U43" i="58"/>
  <c r="U34" i="58"/>
  <c r="U25" i="58"/>
  <c r="U16" i="58"/>
  <c r="U7" i="58"/>
  <c r="T40" i="58"/>
  <c r="T31" i="58"/>
  <c r="T22" i="58"/>
  <c r="T13" i="58"/>
  <c r="T4" i="58"/>
  <c r="Q37" i="58"/>
  <c r="Q28" i="58"/>
  <c r="Q19" i="58"/>
  <c r="Q10" i="58"/>
  <c r="O37" i="58"/>
  <c r="O28" i="58"/>
  <c r="O19" i="58"/>
  <c r="O10" i="58"/>
  <c r="N28" i="58"/>
  <c r="R33" i="58"/>
  <c r="R11" i="58"/>
  <c r="N32" i="58"/>
  <c r="R35" i="58"/>
  <c r="R26" i="58"/>
  <c r="R17" i="58"/>
  <c r="R8" i="58"/>
  <c r="O38" i="58"/>
  <c r="O29" i="58"/>
  <c r="O20" i="58"/>
  <c r="O11" i="58"/>
  <c r="O2" i="58"/>
  <c r="N38" i="58"/>
  <c r="N29" i="58"/>
  <c r="N20" i="58"/>
  <c r="N11" i="58"/>
  <c r="N2" i="58"/>
  <c r="U36" i="58"/>
  <c r="U27" i="58"/>
  <c r="U18" i="58"/>
  <c r="U9" i="58"/>
  <c r="L35" i="58"/>
  <c r="L26" i="58"/>
  <c r="L17" i="58"/>
  <c r="L8" i="58"/>
  <c r="N25" i="58"/>
  <c r="R30" i="58"/>
  <c r="L39" i="58"/>
  <c r="L30" i="58"/>
  <c r="L21" i="58"/>
  <c r="L12" i="58"/>
  <c r="L3" i="58"/>
  <c r="R37" i="58"/>
  <c r="R28" i="58"/>
  <c r="R19" i="58"/>
  <c r="R10" i="58"/>
  <c r="R36" i="58"/>
  <c r="N22" i="58"/>
  <c r="R27" i="58"/>
  <c r="R20" i="58"/>
  <c r="U38" i="58"/>
  <c r="U29" i="58"/>
  <c r="U20" i="58"/>
  <c r="U11" i="58"/>
  <c r="U2" i="58"/>
  <c r="Q41" i="58"/>
  <c r="Q32" i="58"/>
  <c r="Q23" i="58"/>
  <c r="Q14" i="58"/>
  <c r="Q5" i="58"/>
  <c r="T42" i="58"/>
  <c r="T33" i="58"/>
  <c r="T24" i="58"/>
  <c r="T15" i="58"/>
  <c r="T6" i="58"/>
  <c r="N16" i="58"/>
  <c r="N13" i="58"/>
  <c r="R24" i="58"/>
  <c r="T35" i="58"/>
  <c r="T26" i="58"/>
  <c r="T17" i="58"/>
  <c r="T8" i="58"/>
  <c r="N42" i="58"/>
  <c r="N33" i="58"/>
  <c r="N24" i="58"/>
  <c r="N15" i="58"/>
  <c r="N6" i="58"/>
  <c r="U40" i="58"/>
  <c r="U31" i="58"/>
  <c r="U22" i="58"/>
  <c r="U13" i="58"/>
  <c r="U4" i="58"/>
  <c r="T37" i="58"/>
  <c r="T28" i="58"/>
  <c r="T19" i="58"/>
  <c r="T10" i="58"/>
  <c r="Q43" i="58"/>
  <c r="Q34" i="58"/>
  <c r="Q25" i="58"/>
  <c r="Q16" i="58"/>
  <c r="Q7" i="58"/>
  <c r="O43" i="58"/>
  <c r="O34" i="58"/>
  <c r="O25" i="58"/>
  <c r="O16" i="58"/>
  <c r="O7" i="58"/>
  <c r="N7" i="58"/>
  <c r="R21" i="58"/>
  <c r="R29" i="58"/>
  <c r="R41" i="58"/>
  <c r="R32" i="58"/>
  <c r="R23" i="58"/>
  <c r="R14" i="58"/>
  <c r="R5" i="58"/>
  <c r="O35" i="58"/>
  <c r="O26" i="58"/>
  <c r="O17" i="58"/>
  <c r="O8" i="58"/>
  <c r="N35" i="58"/>
  <c r="N26" i="58"/>
  <c r="N17" i="58"/>
  <c r="N8" i="58"/>
  <c r="U42" i="58"/>
  <c r="U33" i="58"/>
  <c r="U24" i="58"/>
  <c r="U15" i="58"/>
  <c r="L41" i="58"/>
  <c r="L32" i="58"/>
  <c r="L23" i="58"/>
  <c r="L14" i="58"/>
  <c r="L5" i="58"/>
  <c r="N19" i="58"/>
  <c r="R18" i="58"/>
  <c r="Q36" i="58"/>
  <c r="Q27" i="58"/>
  <c r="Q18" i="58"/>
  <c r="Q9" i="58"/>
  <c r="L43" i="58"/>
  <c r="L34" i="58"/>
  <c r="L25" i="58"/>
  <c r="L16" i="58"/>
  <c r="L7" i="58"/>
  <c r="L36" i="58"/>
  <c r="L27" i="58"/>
  <c r="L18" i="58"/>
  <c r="R43" i="58"/>
  <c r="R34" i="58"/>
  <c r="R25" i="58"/>
  <c r="R16" i="58"/>
  <c r="R7" i="58"/>
  <c r="N10" i="58"/>
  <c r="R6" i="58"/>
  <c r="R15" i="58"/>
  <c r="T39" i="58"/>
  <c r="T30" i="58"/>
  <c r="T21" i="58"/>
  <c r="T12" i="58"/>
  <c r="T3" i="58"/>
  <c r="N4" i="58"/>
  <c r="N37" i="58"/>
  <c r="R12" i="58"/>
  <c r="N39" i="58"/>
  <c r="N30" i="58"/>
  <c r="N21" i="58"/>
  <c r="N12" i="58"/>
  <c r="N3" i="58"/>
  <c r="T43" i="58"/>
  <c r="T34" i="58"/>
  <c r="T25" i="58"/>
  <c r="T16" i="58"/>
  <c r="Q40" i="58"/>
  <c r="Q31" i="58"/>
  <c r="Q22" i="58"/>
  <c r="Q13" i="58"/>
  <c r="O40" i="58"/>
  <c r="O31" i="58"/>
  <c r="O22" i="58"/>
  <c r="O13" i="58"/>
  <c r="O4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85" i="52"/>
  <c r="R73" i="52"/>
  <c r="N73" i="52"/>
  <c r="S37" i="52"/>
  <c r="S79" i="52"/>
  <c r="S66" i="52"/>
  <c r="S8" i="52"/>
  <c r="S17" i="52"/>
  <c r="S26" i="52"/>
  <c r="S34" i="52"/>
  <c r="S76" i="52"/>
  <c r="S42" i="52"/>
  <c r="S6" i="52"/>
  <c r="S15" i="52"/>
  <c r="S24" i="52"/>
  <c r="S72" i="52"/>
  <c r="S48" i="52"/>
  <c r="S30" i="52"/>
  <c r="S45" i="52"/>
  <c r="S57" i="52"/>
  <c r="S50" i="52"/>
  <c r="S71" i="52"/>
  <c r="S38" i="52"/>
  <c r="S54" i="52"/>
  <c r="S41" i="52"/>
  <c r="S86" i="52"/>
  <c r="S67" i="52"/>
  <c r="S60" i="52"/>
  <c r="S2" i="52"/>
  <c r="S11" i="52"/>
  <c r="S20" i="52"/>
  <c r="S29" i="52"/>
  <c r="S64" i="52"/>
  <c r="S9" i="52"/>
  <c r="S18" i="52"/>
  <c r="S27" i="52"/>
  <c r="S84" i="52"/>
  <c r="S83" i="52"/>
  <c r="S52" i="52"/>
  <c r="S74" i="52"/>
  <c r="S55" i="52"/>
  <c r="S59" i="52"/>
  <c r="S44" i="52"/>
  <c r="S81" i="52"/>
  <c r="S35" i="52"/>
  <c r="S90" i="52"/>
  <c r="S78" i="52"/>
  <c r="S5" i="52"/>
  <c r="S14" i="52"/>
  <c r="S23" i="52"/>
  <c r="S3" i="52"/>
  <c r="S12" i="52"/>
  <c r="S21" i="52"/>
  <c r="S89" i="52"/>
  <c r="S33" i="52"/>
  <c r="S88" i="52"/>
  <c r="S39" i="52"/>
  <c r="S62" i="52"/>
  <c r="S91" i="52"/>
  <c r="S77" i="52"/>
  <c r="S69" i="52"/>
  <c r="N34" i="52"/>
  <c r="V85" i="52"/>
  <c r="S73" i="52"/>
  <c r="S31" i="52"/>
  <c r="N39" i="52"/>
  <c r="Q56" i="52"/>
  <c r="N68" i="52"/>
  <c r="S22" i="52"/>
  <c r="S13" i="52"/>
  <c r="S4" i="52"/>
  <c r="N75" i="52"/>
  <c r="Q32" i="52"/>
  <c r="N23" i="52"/>
  <c r="N14" i="52"/>
  <c r="N5" i="52"/>
  <c r="Q58" i="52"/>
  <c r="S65" i="52"/>
  <c r="R57" i="52"/>
  <c r="R5" i="52"/>
  <c r="R14" i="52"/>
  <c r="R23" i="52"/>
  <c r="R9" i="52"/>
  <c r="R18" i="52"/>
  <c r="R27" i="52"/>
  <c r="R79" i="52"/>
  <c r="R47" i="52"/>
  <c r="R54" i="52"/>
  <c r="R33" i="52"/>
  <c r="R76" i="52"/>
  <c r="R45" i="52"/>
  <c r="R93" i="52"/>
  <c r="R65" i="52"/>
  <c r="R71" i="52"/>
  <c r="R81" i="52"/>
  <c r="R34" i="52"/>
  <c r="R90" i="52"/>
  <c r="R8" i="52"/>
  <c r="R17" i="52"/>
  <c r="R26" i="52"/>
  <c r="R40" i="52"/>
  <c r="R42" i="52"/>
  <c r="R86" i="52"/>
  <c r="R3" i="52"/>
  <c r="R12" i="52"/>
  <c r="R21" i="52"/>
  <c r="R30" i="52"/>
  <c r="R67" i="52"/>
  <c r="R48" i="52"/>
  <c r="R78" i="52"/>
  <c r="R41" i="52"/>
  <c r="R64" i="52"/>
  <c r="R56" i="52"/>
  <c r="R83" i="52"/>
  <c r="R52" i="52"/>
  <c r="R74" i="52"/>
  <c r="R55" i="52"/>
  <c r="R50" i="52"/>
  <c r="R38" i="52"/>
  <c r="R43" i="52"/>
  <c r="R69" i="52"/>
  <c r="R2" i="52"/>
  <c r="R11" i="52"/>
  <c r="R20" i="52"/>
  <c r="R29" i="52"/>
  <c r="R44" i="52"/>
  <c r="R6" i="52"/>
  <c r="R15" i="52"/>
  <c r="R24" i="52"/>
  <c r="R66" i="52"/>
  <c r="R72" i="52"/>
  <c r="R89" i="52"/>
  <c r="R39" i="52"/>
  <c r="R88" i="52"/>
  <c r="R62" i="52"/>
  <c r="R59" i="52"/>
  <c r="R91" i="52"/>
  <c r="R77" i="52"/>
  <c r="R31" i="52"/>
  <c r="V61" i="52"/>
  <c r="S56" i="52"/>
  <c r="V51" i="52"/>
  <c r="S75" i="52"/>
  <c r="R22" i="52"/>
  <c r="R13" i="52"/>
  <c r="R4" i="52"/>
  <c r="R58" i="52"/>
  <c r="V82" i="52"/>
  <c r="S47" i="52"/>
  <c r="Q88" i="52"/>
  <c r="Q3" i="52"/>
  <c r="Q12" i="52"/>
  <c r="Q21" i="52"/>
  <c r="Q30" i="52"/>
  <c r="Q62" i="52"/>
  <c r="Q91" i="52"/>
  <c r="Q44" i="52"/>
  <c r="Q57" i="52"/>
  <c r="Q47" i="52"/>
  <c r="Q79" i="52"/>
  <c r="Q54" i="52"/>
  <c r="Q76" i="52"/>
  <c r="Q50" i="52"/>
  <c r="Q60" i="52"/>
  <c r="Q84" i="52"/>
  <c r="Q7" i="52"/>
  <c r="Q16" i="52"/>
  <c r="Q41" i="52"/>
  <c r="Q39" i="52"/>
  <c r="Q45" i="52"/>
  <c r="Q6" i="52"/>
  <c r="Q15" i="52"/>
  <c r="Q24" i="52"/>
  <c r="Q93" i="52"/>
  <c r="Q65" i="52"/>
  <c r="Q26" i="52"/>
  <c r="Q29" i="52"/>
  <c r="Q71" i="52"/>
  <c r="Q81" i="52"/>
  <c r="Q14" i="52"/>
  <c r="Q17" i="52"/>
  <c r="Q20" i="52"/>
  <c r="Q90" i="52"/>
  <c r="Q86" i="52"/>
  <c r="Q67" i="52"/>
  <c r="Q5" i="52"/>
  <c r="Q8" i="52"/>
  <c r="Q78" i="52"/>
  <c r="Q42" i="52"/>
  <c r="Q64" i="52"/>
  <c r="Q53" i="52"/>
  <c r="Q10" i="52"/>
  <c r="Q19" i="52"/>
  <c r="Q28" i="52"/>
  <c r="Q59" i="52"/>
  <c r="Q83" i="52"/>
  <c r="Q52" i="52"/>
  <c r="Q9" i="52"/>
  <c r="Q18" i="52"/>
  <c r="Q27" i="52"/>
  <c r="Q74" i="52"/>
  <c r="Q2" i="52"/>
  <c r="Q23" i="52"/>
  <c r="Q34" i="52"/>
  <c r="Q69" i="52"/>
  <c r="Q31" i="52"/>
  <c r="Q11" i="52"/>
  <c r="Q66" i="52"/>
  <c r="Q35" i="52"/>
  <c r="Q72" i="52"/>
  <c r="Q89" i="52"/>
  <c r="Q4" i="52"/>
  <c r="Q13" i="52"/>
  <c r="Q22" i="52"/>
  <c r="Q43" i="52"/>
  <c r="Q37" i="52"/>
  <c r="V80" i="52"/>
  <c r="V63" i="52"/>
  <c r="V30" i="52"/>
  <c r="V21" i="52"/>
  <c r="V12" i="52"/>
  <c r="V3" i="52"/>
  <c r="S58" i="52"/>
  <c r="Q70" i="52"/>
  <c r="N33" i="52"/>
  <c r="N48" i="52"/>
  <c r="N69" i="52"/>
  <c r="N36" i="52"/>
  <c r="N31" i="52"/>
  <c r="N79" i="52"/>
  <c r="N57" i="52"/>
  <c r="N66" i="52"/>
  <c r="N6" i="52"/>
  <c r="N15" i="52"/>
  <c r="N24" i="52"/>
  <c r="N76" i="52"/>
  <c r="N10" i="52"/>
  <c r="N19" i="52"/>
  <c r="N28" i="52"/>
  <c r="N62" i="52"/>
  <c r="N77" i="52"/>
  <c r="N38" i="52"/>
  <c r="N47" i="52"/>
  <c r="N60" i="52"/>
  <c r="N50" i="52"/>
  <c r="N67" i="52"/>
  <c r="N9" i="52"/>
  <c r="N18" i="52"/>
  <c r="N27" i="52"/>
  <c r="N64" i="52"/>
  <c r="N51" i="52"/>
  <c r="N4" i="52"/>
  <c r="N13" i="52"/>
  <c r="N22" i="52"/>
  <c r="N93" i="52"/>
  <c r="N65" i="52"/>
  <c r="N71" i="52"/>
  <c r="N81" i="52"/>
  <c r="N90" i="52"/>
  <c r="N86" i="52"/>
  <c r="N55" i="52"/>
  <c r="N78" i="52"/>
  <c r="N3" i="52"/>
  <c r="N12" i="52"/>
  <c r="N21" i="52"/>
  <c r="N30" i="52"/>
  <c r="N52" i="52"/>
  <c r="N35" i="52"/>
  <c r="N7" i="52"/>
  <c r="N16" i="52"/>
  <c r="N25" i="52"/>
  <c r="N32" i="52"/>
  <c r="N53" i="52"/>
  <c r="N59" i="52"/>
  <c r="N83" i="52"/>
  <c r="N88" i="52"/>
  <c r="N74" i="52"/>
  <c r="N91" i="52"/>
  <c r="N49" i="52"/>
  <c r="S43" i="52"/>
  <c r="V92" i="52"/>
  <c r="Q68" i="52"/>
  <c r="N87" i="52"/>
  <c r="Q75" i="52"/>
  <c r="R70" i="52"/>
  <c r="N70" i="52"/>
  <c r="R68" i="52"/>
  <c r="N80" i="52"/>
  <c r="S28" i="52"/>
  <c r="S19" i="52"/>
  <c r="S10" i="52"/>
  <c r="S87" i="52"/>
  <c r="R75" i="52"/>
  <c r="N29" i="52"/>
  <c r="N20" i="52"/>
  <c r="N11" i="52"/>
  <c r="N2" i="52"/>
  <c r="S70" i="52"/>
  <c r="R60" i="52"/>
  <c r="R35" i="52"/>
  <c r="Q85" i="52"/>
  <c r="V73" i="52"/>
  <c r="N92" i="52"/>
  <c r="S68" i="52"/>
  <c r="R28" i="52"/>
  <c r="R19" i="52"/>
  <c r="R10" i="52"/>
  <c r="Q77" i="52"/>
  <c r="V84" i="52"/>
  <c r="N85" i="52"/>
  <c r="Q61" i="52"/>
  <c r="V56" i="52"/>
  <c r="N54" i="52"/>
  <c r="S36" i="52"/>
  <c r="Q87" i="52"/>
  <c r="V75" i="52"/>
  <c r="V27" i="52"/>
  <c r="V18" i="52"/>
  <c r="V9" i="52"/>
  <c r="Q46" i="52"/>
  <c r="Q82" i="52"/>
  <c r="N37" i="52"/>
  <c r="Q25" i="52"/>
  <c r="V49" i="52"/>
  <c r="V4" i="52"/>
  <c r="V13" i="52"/>
  <c r="V22" i="52"/>
  <c r="V64" i="52"/>
  <c r="V8" i="52"/>
  <c r="V17" i="52"/>
  <c r="V26" i="52"/>
  <c r="V83" i="52"/>
  <c r="V37" i="52"/>
  <c r="V74" i="52"/>
  <c r="V93" i="52"/>
  <c r="V34" i="52"/>
  <c r="V53" i="52"/>
  <c r="V58" i="52"/>
  <c r="V59" i="52"/>
  <c r="V81" i="52"/>
  <c r="V38" i="52"/>
  <c r="V90" i="52"/>
  <c r="V39" i="52"/>
  <c r="V78" i="52"/>
  <c r="V7" i="52"/>
  <c r="V16" i="52"/>
  <c r="V25" i="52"/>
  <c r="V2" i="52"/>
  <c r="V11" i="52"/>
  <c r="V20" i="52"/>
  <c r="V29" i="52"/>
  <c r="V40" i="52"/>
  <c r="V89" i="52"/>
  <c r="V47" i="52"/>
  <c r="V88" i="52"/>
  <c r="V62" i="52"/>
  <c r="V91" i="52"/>
  <c r="V77" i="52"/>
  <c r="V36" i="52"/>
  <c r="V69" i="52"/>
  <c r="V42" i="52"/>
  <c r="V44" i="52"/>
  <c r="V43" i="52"/>
  <c r="V79" i="52"/>
  <c r="V66" i="52"/>
  <c r="V10" i="52"/>
  <c r="V19" i="52"/>
  <c r="V28" i="52"/>
  <c r="V76" i="52"/>
  <c r="V5" i="52"/>
  <c r="V14" i="52"/>
  <c r="V23" i="52"/>
  <c r="V31" i="52"/>
  <c r="V32" i="52"/>
  <c r="V57" i="52"/>
  <c r="V50" i="52"/>
  <c r="V33" i="52"/>
  <c r="V41" i="52"/>
  <c r="V48" i="52"/>
  <c r="V65" i="52"/>
  <c r="V71" i="52"/>
  <c r="V45" i="52"/>
  <c r="V54" i="52"/>
  <c r="V86" i="52"/>
  <c r="V67" i="52"/>
  <c r="V60" i="52"/>
  <c r="Q38" i="52"/>
  <c r="R61" i="52"/>
  <c r="N61" i="52"/>
  <c r="Q80" i="52"/>
  <c r="V35" i="52"/>
  <c r="R87" i="52"/>
  <c r="Q51" i="52"/>
  <c r="R53" i="52"/>
  <c r="S46" i="52"/>
  <c r="R82" i="52"/>
  <c r="N82" i="52"/>
  <c r="Q36" i="52"/>
  <c r="S53" i="52"/>
  <c r="N84" i="52"/>
  <c r="S93" i="52"/>
  <c r="V55" i="52"/>
  <c r="R37" i="52"/>
  <c r="S61" i="52"/>
  <c r="N44" i="52"/>
  <c r="S32" i="52"/>
  <c r="Q92" i="52"/>
  <c r="R80" i="52"/>
  <c r="S25" i="52"/>
  <c r="S16" i="52"/>
  <c r="S7" i="52"/>
  <c r="S51" i="52"/>
  <c r="R51" i="52"/>
  <c r="N63" i="52"/>
  <c r="R36" i="52"/>
  <c r="N26" i="52"/>
  <c r="N17" i="52"/>
  <c r="N8" i="52"/>
  <c r="S82" i="52"/>
  <c r="R84" i="52"/>
  <c r="N72" i="52"/>
  <c r="Q49" i="52"/>
  <c r="N42" i="52"/>
  <c r="R92" i="52"/>
  <c r="N56" i="52"/>
  <c r="S80" i="52"/>
  <c r="V87" i="52"/>
  <c r="S63" i="52"/>
  <c r="R25" i="52"/>
  <c r="R16" i="52"/>
  <c r="R7" i="52"/>
  <c r="N46" i="52"/>
  <c r="V70" i="52"/>
  <c r="Q40" i="52"/>
  <c r="R49" i="52"/>
  <c r="Q73" i="52"/>
  <c r="N41" i="52"/>
  <c r="S92" i="52"/>
  <c r="V68" i="52"/>
  <c r="N45" i="52"/>
  <c r="R46" i="52"/>
  <c r="V24" i="52"/>
  <c r="V15" i="52"/>
  <c r="V6" i="52"/>
  <c r="S40" i="52"/>
  <c r="R32" i="52"/>
  <c r="Q63" i="52"/>
  <c r="N58" i="52"/>
  <c r="V52" i="52"/>
  <c r="Q48" i="52"/>
  <c r="Q55" i="52"/>
  <c r="R211" i="51"/>
  <c r="K211" i="51"/>
  <c r="L211" i="51"/>
  <c r="O211" i="51"/>
  <c r="M211" i="51"/>
  <c r="O84" i="49"/>
  <c r="O85" i="49" s="1"/>
  <c r="P83" i="49"/>
  <c r="W21" i="59" s="1"/>
  <c r="D84" i="49"/>
  <c r="D85" i="49" s="1"/>
  <c r="I83" i="49"/>
  <c r="P21" i="59" s="1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X21" i="59" s="1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U21" i="59" s="1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O21" i="59" s="1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X213" i="51" s="1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1" i="14"/>
  <c r="T272" i="14"/>
  <c r="T273" i="14"/>
  <c r="T274" i="14"/>
  <c r="T275" i="14"/>
  <c r="T374" i="14"/>
  <c r="T375" i="14"/>
  <c r="T376" i="14"/>
  <c r="T235" i="14"/>
  <c r="T236" i="14"/>
  <c r="T237" i="14"/>
  <c r="T238" i="14"/>
  <c r="T239" i="14"/>
  <c r="T255" i="14"/>
  <c r="T256" i="14"/>
  <c r="T207" i="14"/>
  <c r="T208" i="14"/>
  <c r="T209" i="14"/>
  <c r="T210" i="14"/>
  <c r="T196" i="14"/>
  <c r="T197" i="14"/>
  <c r="T203" i="14"/>
  <c r="T204" i="14"/>
  <c r="T205" i="14"/>
  <c r="T206" i="14"/>
  <c r="T211" i="14"/>
  <c r="T212" i="14"/>
  <c r="T213" i="14"/>
  <c r="T214" i="14"/>
  <c r="T228" i="14"/>
  <c r="T229" i="14"/>
  <c r="T230" i="14"/>
  <c r="T231" i="14"/>
  <c r="T232" i="14"/>
  <c r="T233" i="14"/>
  <c r="T155" i="14"/>
  <c r="T156" i="14"/>
  <c r="T173" i="14"/>
  <c r="T174" i="14"/>
  <c r="T176" i="14"/>
  <c r="T177" i="14"/>
  <c r="T178" i="14"/>
  <c r="T179" i="14"/>
  <c r="T180" i="14"/>
  <c r="T154" i="14"/>
  <c r="T175" i="14"/>
  <c r="T234" i="14"/>
  <c r="T269" i="14"/>
  <c r="T270" i="14"/>
  <c r="T419" i="14"/>
  <c r="T420" i="14"/>
  <c r="T421" i="14"/>
  <c r="T422" i="14"/>
  <c r="T423" i="14"/>
  <c r="T424" i="14"/>
  <c r="T425" i="14"/>
  <c r="T426" i="14"/>
  <c r="T450" i="14"/>
  <c r="T568" i="14"/>
  <c r="T569" i="14"/>
  <c r="T570" i="14"/>
  <c r="T60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3" i="2"/>
  <c r="X34" i="2"/>
  <c r="X36" i="2"/>
  <c r="X37" i="2"/>
  <c r="X40" i="2"/>
  <c r="X41" i="2"/>
  <c r="X42" i="2"/>
  <c r="X43" i="2"/>
  <c r="X44" i="2"/>
  <c r="X46" i="2"/>
  <c r="X47" i="2"/>
  <c r="X48" i="2"/>
  <c r="X50" i="2"/>
  <c r="X53" i="2"/>
  <c r="X55" i="2"/>
  <c r="X57" i="2"/>
  <c r="X59" i="2"/>
  <c r="X61" i="2"/>
  <c r="X62" i="2"/>
  <c r="X63" i="2"/>
  <c r="X64" i="2"/>
  <c r="X65" i="2"/>
  <c r="X66" i="2"/>
  <c r="X67" i="2"/>
  <c r="X68" i="2"/>
  <c r="X69" i="2"/>
  <c r="X71" i="2"/>
  <c r="X72" i="2"/>
  <c r="X74" i="2"/>
  <c r="X75" i="2"/>
  <c r="X76" i="2"/>
  <c r="X77" i="2"/>
  <c r="X81" i="2"/>
  <c r="X82" i="2"/>
  <c r="X86" i="2"/>
  <c r="X87" i="2"/>
  <c r="X90" i="2"/>
  <c r="X92" i="2"/>
  <c r="X93" i="2"/>
  <c r="X96" i="2"/>
  <c r="X97" i="2"/>
  <c r="X99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8" i="2"/>
  <c r="X120" i="2"/>
  <c r="X121" i="2"/>
  <c r="X122" i="2"/>
  <c r="X123" i="2"/>
  <c r="X124" i="2"/>
  <c r="X125" i="2"/>
  <c r="X127" i="2"/>
  <c r="X128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7" i="2"/>
  <c r="X148" i="2"/>
  <c r="X150" i="2"/>
  <c r="X152" i="2"/>
  <c r="X154" i="2"/>
  <c r="X155" i="2"/>
  <c r="X157" i="2"/>
  <c r="X159" i="2"/>
  <c r="X160" i="2"/>
  <c r="X163" i="2"/>
  <c r="X165" i="2"/>
  <c r="X167" i="2"/>
  <c r="B167" i="19" s="1"/>
  <c r="X2" i="2"/>
  <c r="B2" i="19" s="1"/>
  <c r="K94" i="52" l="1"/>
  <c r="K95" i="52"/>
  <c r="J94" i="52"/>
  <c r="J95" i="52"/>
  <c r="I95" i="52"/>
  <c r="I93" i="52"/>
  <c r="I94" i="52"/>
  <c r="P94" i="52"/>
  <c r="P95" i="52"/>
  <c r="O94" i="52"/>
  <c r="O95" i="52"/>
  <c r="M95" i="52"/>
  <c r="M94" i="52"/>
  <c r="L94" i="52"/>
  <c r="L95" i="52"/>
  <c r="W94" i="52"/>
  <c r="W95" i="52"/>
  <c r="T95" i="52"/>
  <c r="T94" i="52"/>
  <c r="X95" i="52"/>
  <c r="X94" i="52"/>
  <c r="U94" i="52"/>
  <c r="U95" i="52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L7" i="59"/>
  <c r="L21" i="59"/>
  <c r="V212" i="51"/>
  <c r="J212" i="51"/>
  <c r="S212" i="51"/>
  <c r="X209" i="51"/>
  <c r="X212" i="51"/>
  <c r="U212" i="51"/>
  <c r="Q212" i="51"/>
  <c r="P212" i="51"/>
  <c r="N212" i="51"/>
  <c r="W212" i="51"/>
  <c r="P4" i="59"/>
  <c r="P13" i="59"/>
  <c r="P2" i="59"/>
  <c r="P11" i="59"/>
  <c r="P20" i="59"/>
  <c r="P9" i="59"/>
  <c r="P18" i="59"/>
  <c r="P7" i="59"/>
  <c r="P16" i="59"/>
  <c r="P5" i="59"/>
  <c r="P14" i="59"/>
  <c r="P3" i="59"/>
  <c r="P12" i="59"/>
  <c r="P10" i="59"/>
  <c r="P19" i="59"/>
  <c r="P8" i="59"/>
  <c r="P17" i="59"/>
  <c r="P6" i="59"/>
  <c r="P15" i="59"/>
  <c r="W5" i="59"/>
  <c r="W14" i="59"/>
  <c r="W7" i="59"/>
  <c r="W16" i="59"/>
  <c r="W3" i="59"/>
  <c r="W12" i="59"/>
  <c r="W19" i="59"/>
  <c r="W8" i="59"/>
  <c r="W17" i="59"/>
  <c r="W10" i="59"/>
  <c r="W6" i="59"/>
  <c r="W15" i="59"/>
  <c r="W13" i="59"/>
  <c r="W2" i="59"/>
  <c r="W11" i="59"/>
  <c r="W20" i="59"/>
  <c r="W4" i="59"/>
  <c r="W9" i="59"/>
  <c r="W18" i="59"/>
  <c r="U5" i="59"/>
  <c r="U14" i="59"/>
  <c r="U17" i="59"/>
  <c r="U3" i="59"/>
  <c r="U12" i="59"/>
  <c r="U10" i="59"/>
  <c r="U19" i="59"/>
  <c r="U6" i="59"/>
  <c r="U15" i="59"/>
  <c r="U20" i="59"/>
  <c r="U4" i="59"/>
  <c r="U13" i="59"/>
  <c r="U2" i="59"/>
  <c r="U11" i="59"/>
  <c r="U9" i="59"/>
  <c r="U18" i="59"/>
  <c r="U7" i="59"/>
  <c r="U16" i="59"/>
  <c r="U8" i="59"/>
  <c r="O9" i="59"/>
  <c r="O2" i="59"/>
  <c r="O11" i="59"/>
  <c r="O20" i="59"/>
  <c r="O7" i="59"/>
  <c r="O16" i="59"/>
  <c r="O18" i="59"/>
  <c r="O5" i="59"/>
  <c r="O14" i="59"/>
  <c r="O10" i="59"/>
  <c r="O19" i="59"/>
  <c r="O3" i="59"/>
  <c r="O12" i="59"/>
  <c r="O8" i="59"/>
  <c r="O17" i="59"/>
  <c r="O15" i="59"/>
  <c r="O4" i="59"/>
  <c r="O13" i="59"/>
  <c r="O6" i="59"/>
  <c r="X9" i="59"/>
  <c r="X18" i="59"/>
  <c r="X7" i="59"/>
  <c r="X16" i="59"/>
  <c r="X5" i="59"/>
  <c r="X14" i="59"/>
  <c r="X3" i="59"/>
  <c r="X12" i="59"/>
  <c r="X10" i="59"/>
  <c r="X19" i="59"/>
  <c r="X8" i="59"/>
  <c r="X17" i="59"/>
  <c r="X6" i="59"/>
  <c r="X15" i="59"/>
  <c r="X4" i="59"/>
  <c r="X13" i="59"/>
  <c r="X2" i="59"/>
  <c r="X11" i="59"/>
  <c r="X20" i="59"/>
  <c r="W43" i="58"/>
  <c r="W37" i="58"/>
  <c r="W40" i="58"/>
  <c r="W16" i="58"/>
  <c r="W6" i="58"/>
  <c r="W15" i="58"/>
  <c r="W24" i="58"/>
  <c r="W33" i="58"/>
  <c r="W42" i="58"/>
  <c r="W5" i="58"/>
  <c r="W14" i="58"/>
  <c r="W23" i="58"/>
  <c r="W32" i="58"/>
  <c r="W41" i="58"/>
  <c r="W34" i="58"/>
  <c r="W22" i="58"/>
  <c r="W10" i="58"/>
  <c r="W25" i="58"/>
  <c r="W9" i="58"/>
  <c r="W18" i="58"/>
  <c r="W27" i="58"/>
  <c r="W36" i="58"/>
  <c r="W8" i="58"/>
  <c r="W17" i="58"/>
  <c r="W26" i="58"/>
  <c r="W35" i="58"/>
  <c r="W4" i="58"/>
  <c r="W13" i="58"/>
  <c r="W7" i="58"/>
  <c r="W19" i="58"/>
  <c r="W31" i="58"/>
  <c r="W3" i="58"/>
  <c r="W12" i="58"/>
  <c r="W21" i="58"/>
  <c r="W30" i="58"/>
  <c r="W39" i="58"/>
  <c r="W2" i="58"/>
  <c r="W11" i="58"/>
  <c r="W20" i="58"/>
  <c r="W29" i="58"/>
  <c r="W38" i="58"/>
  <c r="W28" i="58"/>
  <c r="X2" i="58"/>
  <c r="X11" i="58"/>
  <c r="X20" i="58"/>
  <c r="X29" i="58"/>
  <c r="X38" i="58"/>
  <c r="X19" i="58"/>
  <c r="X33" i="58"/>
  <c r="X4" i="58"/>
  <c r="X9" i="58"/>
  <c r="X18" i="58"/>
  <c r="X27" i="58"/>
  <c r="X36" i="58"/>
  <c r="X7" i="58"/>
  <c r="X16" i="58"/>
  <c r="X25" i="58"/>
  <c r="X34" i="58"/>
  <c r="X43" i="58"/>
  <c r="X31" i="58"/>
  <c r="X5" i="58"/>
  <c r="X14" i="58"/>
  <c r="X23" i="58"/>
  <c r="X32" i="58"/>
  <c r="X41" i="58"/>
  <c r="X28" i="58"/>
  <c r="X22" i="58"/>
  <c r="X37" i="58"/>
  <c r="X15" i="58"/>
  <c r="X40" i="58"/>
  <c r="X3" i="58"/>
  <c r="X12" i="58"/>
  <c r="X21" i="58"/>
  <c r="X30" i="58"/>
  <c r="X39" i="58"/>
  <c r="X10" i="58"/>
  <c r="X8" i="58"/>
  <c r="X17" i="58"/>
  <c r="X26" i="58"/>
  <c r="X35" i="58"/>
  <c r="X24" i="58"/>
  <c r="X42" i="58"/>
  <c r="X6" i="58"/>
  <c r="X13" i="58"/>
  <c r="M5" i="58"/>
  <c r="M14" i="58"/>
  <c r="M23" i="58"/>
  <c r="M32" i="58"/>
  <c r="M41" i="58"/>
  <c r="M3" i="58"/>
  <c r="M12" i="58"/>
  <c r="M21" i="58"/>
  <c r="M30" i="58"/>
  <c r="M39" i="58"/>
  <c r="M40" i="58"/>
  <c r="M34" i="58"/>
  <c r="M10" i="58"/>
  <c r="M19" i="58"/>
  <c r="M28" i="58"/>
  <c r="M37" i="58"/>
  <c r="M4" i="58"/>
  <c r="M16" i="58"/>
  <c r="M33" i="58"/>
  <c r="M8" i="58"/>
  <c r="M17" i="58"/>
  <c r="M26" i="58"/>
  <c r="M35" i="58"/>
  <c r="M24" i="58"/>
  <c r="M43" i="58"/>
  <c r="M6" i="58"/>
  <c r="M15" i="58"/>
  <c r="M42" i="58"/>
  <c r="M22" i="58"/>
  <c r="M13" i="58"/>
  <c r="M31" i="58"/>
  <c r="M7" i="58"/>
  <c r="M2" i="58"/>
  <c r="M11" i="58"/>
  <c r="M20" i="58"/>
  <c r="M29" i="58"/>
  <c r="M38" i="58"/>
  <c r="M25" i="58"/>
  <c r="M9" i="58"/>
  <c r="M18" i="58"/>
  <c r="M27" i="58"/>
  <c r="M36" i="58"/>
  <c r="K37" i="58"/>
  <c r="K43" i="58"/>
  <c r="K6" i="58"/>
  <c r="K15" i="58"/>
  <c r="K24" i="58"/>
  <c r="K33" i="58"/>
  <c r="K42" i="58"/>
  <c r="K5" i="58"/>
  <c r="K14" i="58"/>
  <c r="K23" i="58"/>
  <c r="K32" i="58"/>
  <c r="K41" i="58"/>
  <c r="K25" i="58"/>
  <c r="K9" i="58"/>
  <c r="K18" i="58"/>
  <c r="K27" i="58"/>
  <c r="K36" i="58"/>
  <c r="K16" i="58"/>
  <c r="K8" i="58"/>
  <c r="K17" i="58"/>
  <c r="K26" i="58"/>
  <c r="K35" i="58"/>
  <c r="K4" i="58"/>
  <c r="K7" i="58"/>
  <c r="K10" i="58"/>
  <c r="K40" i="58"/>
  <c r="K13" i="58"/>
  <c r="K19" i="58"/>
  <c r="K28" i="58"/>
  <c r="K31" i="58"/>
  <c r="K3" i="58"/>
  <c r="K12" i="58"/>
  <c r="K21" i="58"/>
  <c r="K30" i="58"/>
  <c r="K39" i="58"/>
  <c r="K2" i="58"/>
  <c r="K11" i="58"/>
  <c r="K20" i="58"/>
  <c r="K29" i="58"/>
  <c r="K38" i="58"/>
  <c r="K22" i="58"/>
  <c r="K34" i="58"/>
  <c r="S41" i="58"/>
  <c r="S8" i="58"/>
  <c r="S20" i="58"/>
  <c r="S14" i="58"/>
  <c r="S32" i="58"/>
  <c r="S29" i="58"/>
  <c r="S35" i="58"/>
  <c r="S5" i="58"/>
  <c r="S38" i="58"/>
  <c r="S2" i="58"/>
  <c r="S26" i="58"/>
  <c r="S23" i="58"/>
  <c r="S17" i="58"/>
  <c r="S11" i="58"/>
  <c r="S7" i="58"/>
  <c r="S16" i="58"/>
  <c r="S25" i="58"/>
  <c r="S34" i="58"/>
  <c r="S43" i="58"/>
  <c r="S6" i="58"/>
  <c r="S15" i="58"/>
  <c r="S24" i="58"/>
  <c r="S33" i="58"/>
  <c r="S42" i="58"/>
  <c r="S10" i="58"/>
  <c r="S19" i="58"/>
  <c r="S28" i="58"/>
  <c r="S37" i="58"/>
  <c r="S9" i="58"/>
  <c r="S18" i="58"/>
  <c r="S27" i="58"/>
  <c r="S36" i="58"/>
  <c r="S21" i="58"/>
  <c r="S12" i="58"/>
  <c r="S39" i="58"/>
  <c r="S4" i="58"/>
  <c r="S13" i="58"/>
  <c r="S22" i="58"/>
  <c r="S31" i="58"/>
  <c r="S40" i="58"/>
  <c r="S3" i="58"/>
  <c r="S30" i="58"/>
  <c r="V17" i="58"/>
  <c r="V11" i="58"/>
  <c r="V6" i="58"/>
  <c r="V15" i="58"/>
  <c r="V24" i="58"/>
  <c r="V33" i="58"/>
  <c r="V42" i="58"/>
  <c r="V23" i="58"/>
  <c r="V4" i="58"/>
  <c r="V13" i="58"/>
  <c r="V22" i="58"/>
  <c r="V31" i="58"/>
  <c r="V40" i="58"/>
  <c r="V25" i="58"/>
  <c r="V29" i="58"/>
  <c r="V5" i="58"/>
  <c r="V34" i="58"/>
  <c r="V32" i="58"/>
  <c r="V41" i="58"/>
  <c r="V35" i="58"/>
  <c r="V9" i="58"/>
  <c r="V18" i="58"/>
  <c r="V27" i="58"/>
  <c r="V36" i="58"/>
  <c r="V7" i="58"/>
  <c r="V16" i="58"/>
  <c r="V2" i="58"/>
  <c r="V43" i="58"/>
  <c r="V8" i="58"/>
  <c r="V14" i="58"/>
  <c r="V20" i="58"/>
  <c r="V3" i="58"/>
  <c r="V12" i="58"/>
  <c r="V21" i="58"/>
  <c r="V30" i="58"/>
  <c r="V39" i="58"/>
  <c r="V38" i="58"/>
  <c r="V26" i="58"/>
  <c r="V10" i="58"/>
  <c r="V19" i="58"/>
  <c r="V28" i="58"/>
  <c r="V37" i="58"/>
  <c r="I8" i="58"/>
  <c r="I17" i="58"/>
  <c r="I6" i="58"/>
  <c r="I15" i="58"/>
  <c r="I24" i="58"/>
  <c r="I33" i="58"/>
  <c r="I42" i="58"/>
  <c r="I4" i="58"/>
  <c r="I13" i="58"/>
  <c r="I22" i="58"/>
  <c r="I31" i="58"/>
  <c r="I40" i="58"/>
  <c r="I2" i="58"/>
  <c r="I11" i="58"/>
  <c r="I20" i="58"/>
  <c r="I29" i="58"/>
  <c r="I38" i="58"/>
  <c r="I19" i="58"/>
  <c r="I26" i="58"/>
  <c r="I9" i="58"/>
  <c r="I18" i="58"/>
  <c r="I27" i="58"/>
  <c r="I36" i="58"/>
  <c r="I28" i="58"/>
  <c r="I7" i="58"/>
  <c r="I16" i="58"/>
  <c r="I25" i="58"/>
  <c r="I34" i="58"/>
  <c r="I43" i="58"/>
  <c r="I10" i="58"/>
  <c r="I5" i="58"/>
  <c r="I14" i="58"/>
  <c r="I23" i="58"/>
  <c r="I32" i="58"/>
  <c r="I41" i="58"/>
  <c r="I37" i="58"/>
  <c r="I3" i="58"/>
  <c r="I12" i="58"/>
  <c r="I21" i="58"/>
  <c r="I30" i="58"/>
  <c r="I39" i="58"/>
  <c r="I35" i="58"/>
  <c r="P8" i="58"/>
  <c r="P17" i="58"/>
  <c r="P26" i="58"/>
  <c r="P35" i="58"/>
  <c r="P6" i="58"/>
  <c r="P15" i="58"/>
  <c r="P24" i="58"/>
  <c r="P33" i="58"/>
  <c r="P42" i="58"/>
  <c r="P4" i="58"/>
  <c r="P13" i="58"/>
  <c r="P22" i="58"/>
  <c r="P31" i="58"/>
  <c r="P40" i="58"/>
  <c r="P2" i="58"/>
  <c r="P11" i="58"/>
  <c r="P20" i="58"/>
  <c r="P29" i="58"/>
  <c r="P38" i="58"/>
  <c r="P9" i="58"/>
  <c r="P18" i="58"/>
  <c r="P27" i="58"/>
  <c r="P36" i="58"/>
  <c r="P7" i="58"/>
  <c r="P16" i="58"/>
  <c r="P25" i="58"/>
  <c r="P34" i="58"/>
  <c r="P43" i="58"/>
  <c r="P5" i="58"/>
  <c r="P14" i="58"/>
  <c r="P23" i="58"/>
  <c r="P32" i="58"/>
  <c r="P41" i="58"/>
  <c r="P3" i="58"/>
  <c r="P12" i="58"/>
  <c r="P21" i="58"/>
  <c r="P30" i="58"/>
  <c r="P39" i="58"/>
  <c r="P10" i="58"/>
  <c r="P19" i="58"/>
  <c r="P28" i="58"/>
  <c r="P37" i="58"/>
  <c r="J6" i="58"/>
  <c r="J15" i="58"/>
  <c r="J24" i="58"/>
  <c r="J33" i="58"/>
  <c r="J42" i="58"/>
  <c r="J4" i="58"/>
  <c r="J13" i="58"/>
  <c r="J22" i="58"/>
  <c r="J31" i="58"/>
  <c r="J40" i="58"/>
  <c r="J35" i="58"/>
  <c r="J2" i="58"/>
  <c r="J38" i="58"/>
  <c r="J11" i="58"/>
  <c r="J14" i="58"/>
  <c r="J9" i="58"/>
  <c r="J18" i="58"/>
  <c r="J27" i="58"/>
  <c r="J36" i="58"/>
  <c r="J5" i="58"/>
  <c r="J41" i="58"/>
  <c r="J7" i="58"/>
  <c r="J16" i="58"/>
  <c r="J25" i="58"/>
  <c r="J34" i="58"/>
  <c r="J43" i="58"/>
  <c r="J8" i="58"/>
  <c r="J29" i="58"/>
  <c r="J3" i="58"/>
  <c r="J12" i="58"/>
  <c r="J21" i="58"/>
  <c r="J30" i="58"/>
  <c r="J39" i="58"/>
  <c r="J17" i="58"/>
  <c r="J23" i="58"/>
  <c r="J26" i="58"/>
  <c r="J32" i="58"/>
  <c r="J10" i="58"/>
  <c r="J19" i="58"/>
  <c r="J28" i="58"/>
  <c r="J37" i="58"/>
  <c r="J20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13" i="52"/>
  <c r="U28" i="52"/>
  <c r="U71" i="52"/>
  <c r="U16" i="52"/>
  <c r="U54" i="52"/>
  <c r="U32" i="52"/>
  <c r="U86" i="52"/>
  <c r="U67" i="52"/>
  <c r="U34" i="52"/>
  <c r="U60" i="52"/>
  <c r="U37" i="52"/>
  <c r="U64" i="52"/>
  <c r="U39" i="52"/>
  <c r="U43" i="52"/>
  <c r="U83" i="52"/>
  <c r="U5" i="52"/>
  <c r="U14" i="52"/>
  <c r="U23" i="52"/>
  <c r="U33" i="52"/>
  <c r="U74" i="52"/>
  <c r="U55" i="52"/>
  <c r="U93" i="52"/>
  <c r="U53" i="52"/>
  <c r="U59" i="52"/>
  <c r="U52" i="52"/>
  <c r="U81" i="52"/>
  <c r="U90" i="52"/>
  <c r="U41" i="52"/>
  <c r="U78" i="52"/>
  <c r="U4" i="52"/>
  <c r="U47" i="52"/>
  <c r="U88" i="52"/>
  <c r="U45" i="52"/>
  <c r="U8" i="52"/>
  <c r="U17" i="52"/>
  <c r="U26" i="52"/>
  <c r="U62" i="52"/>
  <c r="U91" i="52"/>
  <c r="U77" i="52"/>
  <c r="U69" i="52"/>
  <c r="U44" i="52"/>
  <c r="U22" i="52"/>
  <c r="U38" i="52"/>
  <c r="U79" i="52"/>
  <c r="U19" i="52"/>
  <c r="U10" i="52"/>
  <c r="U66" i="52"/>
  <c r="U76" i="52"/>
  <c r="U72" i="52"/>
  <c r="U48" i="52"/>
  <c r="U3" i="52"/>
  <c r="U12" i="52"/>
  <c r="U21" i="52"/>
  <c r="U7" i="52"/>
  <c r="U25" i="52"/>
  <c r="U57" i="52"/>
  <c r="U2" i="52"/>
  <c r="U11" i="52"/>
  <c r="U20" i="52"/>
  <c r="U29" i="52"/>
  <c r="U40" i="52"/>
  <c r="U50" i="52"/>
  <c r="U65" i="52"/>
  <c r="U42" i="52"/>
  <c r="U18" i="52"/>
  <c r="U82" i="52"/>
  <c r="U51" i="52"/>
  <c r="U85" i="52"/>
  <c r="U35" i="52"/>
  <c r="U36" i="52"/>
  <c r="U68" i="52"/>
  <c r="U6" i="52"/>
  <c r="U24" i="52"/>
  <c r="U70" i="52"/>
  <c r="U87" i="52"/>
  <c r="U49" i="52"/>
  <c r="U9" i="52"/>
  <c r="U46" i="52"/>
  <c r="U58" i="52"/>
  <c r="U84" i="52"/>
  <c r="U75" i="52"/>
  <c r="U56" i="52"/>
  <c r="U89" i="52"/>
  <c r="U27" i="52"/>
  <c r="U73" i="52"/>
  <c r="U15" i="52"/>
  <c r="U30" i="52"/>
  <c r="U92" i="52"/>
  <c r="U63" i="52"/>
  <c r="U31" i="52"/>
  <c r="U80" i="52"/>
  <c r="U61" i="52"/>
  <c r="J54" i="52"/>
  <c r="J36" i="52"/>
  <c r="J86" i="52"/>
  <c r="J67" i="52"/>
  <c r="J64" i="52"/>
  <c r="J84" i="52"/>
  <c r="J83" i="52"/>
  <c r="J74" i="52"/>
  <c r="J93" i="52"/>
  <c r="J7" i="52"/>
  <c r="J16" i="52"/>
  <c r="J25" i="52"/>
  <c r="J59" i="52"/>
  <c r="J81" i="52"/>
  <c r="J2" i="52"/>
  <c r="J11" i="52"/>
  <c r="J20" i="52"/>
  <c r="J29" i="52"/>
  <c r="J52" i="52"/>
  <c r="J90" i="52"/>
  <c r="J38" i="52"/>
  <c r="J78" i="52"/>
  <c r="J89" i="52"/>
  <c r="J47" i="52"/>
  <c r="J88" i="52"/>
  <c r="J32" i="52"/>
  <c r="J62" i="52"/>
  <c r="J91" i="52"/>
  <c r="J10" i="52"/>
  <c r="J19" i="52"/>
  <c r="J28" i="52"/>
  <c r="J69" i="52"/>
  <c r="J37" i="52"/>
  <c r="J5" i="52"/>
  <c r="J14" i="52"/>
  <c r="J23" i="52"/>
  <c r="J79" i="52"/>
  <c r="J66" i="52"/>
  <c r="J76" i="52"/>
  <c r="J46" i="52"/>
  <c r="J72" i="52"/>
  <c r="J57" i="52"/>
  <c r="J50" i="52"/>
  <c r="J65" i="52"/>
  <c r="J40" i="52"/>
  <c r="J4" i="52"/>
  <c r="J13" i="52"/>
  <c r="J22" i="52"/>
  <c r="J71" i="52"/>
  <c r="J58" i="52"/>
  <c r="J8" i="52"/>
  <c r="J17" i="52"/>
  <c r="J26" i="52"/>
  <c r="J33" i="52"/>
  <c r="J45" i="52"/>
  <c r="J43" i="52"/>
  <c r="J6" i="52"/>
  <c r="J15" i="52"/>
  <c r="J24" i="52"/>
  <c r="J34" i="52"/>
  <c r="J68" i="52"/>
  <c r="J49" i="52"/>
  <c r="J53" i="52"/>
  <c r="J70" i="52"/>
  <c r="J87" i="52"/>
  <c r="J77" i="52"/>
  <c r="J9" i="52"/>
  <c r="J18" i="52"/>
  <c r="J27" i="52"/>
  <c r="J39" i="52"/>
  <c r="J75" i="52"/>
  <c r="J56" i="52"/>
  <c r="J35" i="52"/>
  <c r="J48" i="52"/>
  <c r="J42" i="52"/>
  <c r="J55" i="52"/>
  <c r="J73" i="52"/>
  <c r="J31" i="52"/>
  <c r="J3" i="52"/>
  <c r="J12" i="52"/>
  <c r="J21" i="52"/>
  <c r="J30" i="52"/>
  <c r="J41" i="52"/>
  <c r="J92" i="52"/>
  <c r="J60" i="52"/>
  <c r="J63" i="52"/>
  <c r="J80" i="52"/>
  <c r="J85" i="52"/>
  <c r="J82" i="52"/>
  <c r="J44" i="52"/>
  <c r="J51" i="52"/>
  <c r="J61" i="52"/>
  <c r="K93" i="52"/>
  <c r="K71" i="52"/>
  <c r="K39" i="52"/>
  <c r="K81" i="52"/>
  <c r="K37" i="52"/>
  <c r="K90" i="52"/>
  <c r="K32" i="52"/>
  <c r="K86" i="52"/>
  <c r="K55" i="52"/>
  <c r="K78" i="52"/>
  <c r="K10" i="52"/>
  <c r="K19" i="52"/>
  <c r="K28" i="52"/>
  <c r="K52" i="52"/>
  <c r="K8" i="52"/>
  <c r="K17" i="52"/>
  <c r="K26" i="52"/>
  <c r="K53" i="52"/>
  <c r="K59" i="52"/>
  <c r="K83" i="52"/>
  <c r="K88" i="52"/>
  <c r="K74" i="52"/>
  <c r="K91" i="52"/>
  <c r="K36" i="52"/>
  <c r="K69" i="52"/>
  <c r="K42" i="52"/>
  <c r="K45" i="52"/>
  <c r="K79" i="52"/>
  <c r="K66" i="52"/>
  <c r="K4" i="52"/>
  <c r="K13" i="52"/>
  <c r="K22" i="52"/>
  <c r="K76" i="52"/>
  <c r="K2" i="52"/>
  <c r="K11" i="52"/>
  <c r="K20" i="52"/>
  <c r="K29" i="52"/>
  <c r="K72" i="52"/>
  <c r="K89" i="52"/>
  <c r="K38" i="52"/>
  <c r="K47" i="52"/>
  <c r="K57" i="52"/>
  <c r="K62" i="52"/>
  <c r="K54" i="52"/>
  <c r="K50" i="52"/>
  <c r="K67" i="52"/>
  <c r="K60" i="52"/>
  <c r="K31" i="52"/>
  <c r="K7" i="52"/>
  <c r="K16" i="52"/>
  <c r="K25" i="52"/>
  <c r="K64" i="52"/>
  <c r="K5" i="52"/>
  <c r="K14" i="52"/>
  <c r="K23" i="52"/>
  <c r="K84" i="52"/>
  <c r="K34" i="52"/>
  <c r="K44" i="52"/>
  <c r="K80" i="52"/>
  <c r="K48" i="52"/>
  <c r="K70" i="52"/>
  <c r="K87" i="52"/>
  <c r="K6" i="52"/>
  <c r="K15" i="52"/>
  <c r="K24" i="52"/>
  <c r="K65" i="52"/>
  <c r="K75" i="52"/>
  <c r="K68" i="52"/>
  <c r="K58" i="52"/>
  <c r="K9" i="52"/>
  <c r="K18" i="52"/>
  <c r="K27" i="52"/>
  <c r="K73" i="52"/>
  <c r="K33" i="52"/>
  <c r="K40" i="52"/>
  <c r="K56" i="52"/>
  <c r="K63" i="52"/>
  <c r="K77" i="52"/>
  <c r="K82" i="52"/>
  <c r="K51" i="52"/>
  <c r="K3" i="52"/>
  <c r="K12" i="52"/>
  <c r="K21" i="52"/>
  <c r="K30" i="52"/>
  <c r="K41" i="52"/>
  <c r="K61" i="52"/>
  <c r="K46" i="52"/>
  <c r="K43" i="52"/>
  <c r="K85" i="52"/>
  <c r="K49" i="52"/>
  <c r="K92" i="52"/>
  <c r="K35" i="52"/>
  <c r="I37" i="52"/>
  <c r="I57" i="52"/>
  <c r="I50" i="52"/>
  <c r="I71" i="52"/>
  <c r="I54" i="52"/>
  <c r="I5" i="52"/>
  <c r="I14" i="52"/>
  <c r="I23" i="52"/>
  <c r="I86" i="52"/>
  <c r="I67" i="52"/>
  <c r="I64" i="52"/>
  <c r="I46" i="52"/>
  <c r="I84" i="52"/>
  <c r="I83" i="52"/>
  <c r="I74" i="52"/>
  <c r="I55" i="52"/>
  <c r="I53" i="52"/>
  <c r="I36" i="52"/>
  <c r="I59" i="52"/>
  <c r="I52" i="52"/>
  <c r="I81" i="52"/>
  <c r="I38" i="52"/>
  <c r="I39" i="52"/>
  <c r="I9" i="52"/>
  <c r="I90" i="52"/>
  <c r="I8" i="52"/>
  <c r="I17" i="52"/>
  <c r="I26" i="52"/>
  <c r="I78" i="52"/>
  <c r="I42" i="52"/>
  <c r="I89" i="52"/>
  <c r="I47" i="52"/>
  <c r="I32" i="52"/>
  <c r="I88" i="52"/>
  <c r="I45" i="52"/>
  <c r="I62" i="52"/>
  <c r="I33" i="52"/>
  <c r="I69" i="52"/>
  <c r="I43" i="52"/>
  <c r="I3" i="52"/>
  <c r="I12" i="52"/>
  <c r="I21" i="52"/>
  <c r="I30" i="52"/>
  <c r="I41" i="52"/>
  <c r="I2" i="52"/>
  <c r="I11" i="52"/>
  <c r="I20" i="52"/>
  <c r="I29" i="52"/>
  <c r="I79" i="52"/>
  <c r="I66" i="52"/>
  <c r="I76" i="52"/>
  <c r="I72" i="52"/>
  <c r="I48" i="52"/>
  <c r="I40" i="52"/>
  <c r="I63" i="52"/>
  <c r="I80" i="52"/>
  <c r="I91" i="52"/>
  <c r="I82" i="52"/>
  <c r="I51" i="52"/>
  <c r="I61" i="52"/>
  <c r="I16" i="52"/>
  <c r="I31" i="52"/>
  <c r="I85" i="52"/>
  <c r="I19" i="52"/>
  <c r="I6" i="52"/>
  <c r="I24" i="52"/>
  <c r="I35" i="52"/>
  <c r="I22" i="52"/>
  <c r="I68" i="52"/>
  <c r="I25" i="52"/>
  <c r="I77" i="52"/>
  <c r="I70" i="52"/>
  <c r="I87" i="52"/>
  <c r="I28" i="52"/>
  <c r="I27" i="52"/>
  <c r="I58" i="52"/>
  <c r="I15" i="52"/>
  <c r="I44" i="52"/>
  <c r="I75" i="52"/>
  <c r="I56" i="52"/>
  <c r="I73" i="52"/>
  <c r="I4" i="52"/>
  <c r="I34" i="52"/>
  <c r="I65" i="52"/>
  <c r="I7" i="52"/>
  <c r="I49" i="52"/>
  <c r="I60" i="52"/>
  <c r="I18" i="52"/>
  <c r="I92" i="52"/>
  <c r="I10" i="52"/>
  <c r="I13" i="52"/>
  <c r="P66" i="52"/>
  <c r="P9" i="52"/>
  <c r="P18" i="52"/>
  <c r="P27" i="52"/>
  <c r="P88" i="52"/>
  <c r="P62" i="52"/>
  <c r="P91" i="52"/>
  <c r="P7" i="52"/>
  <c r="P16" i="52"/>
  <c r="P25" i="52"/>
  <c r="P77" i="52"/>
  <c r="P57" i="52"/>
  <c r="P79" i="52"/>
  <c r="P54" i="52"/>
  <c r="P76" i="52"/>
  <c r="P3" i="52"/>
  <c r="P12" i="52"/>
  <c r="P21" i="52"/>
  <c r="P30" i="52"/>
  <c r="P60" i="52"/>
  <c r="P84" i="52"/>
  <c r="P50" i="52"/>
  <c r="P35" i="52"/>
  <c r="P48" i="52"/>
  <c r="P93" i="52"/>
  <c r="P10" i="52"/>
  <c r="P19" i="52"/>
  <c r="P28" i="52"/>
  <c r="P65" i="52"/>
  <c r="P71" i="52"/>
  <c r="P81" i="52"/>
  <c r="P90" i="52"/>
  <c r="P86" i="52"/>
  <c r="P67" i="52"/>
  <c r="P34" i="52"/>
  <c r="P78" i="52"/>
  <c r="P64" i="52"/>
  <c r="P6" i="52"/>
  <c r="P15" i="52"/>
  <c r="P24" i="52"/>
  <c r="P39" i="52"/>
  <c r="P59" i="52"/>
  <c r="P83" i="52"/>
  <c r="P52" i="52"/>
  <c r="P74" i="52"/>
  <c r="P55" i="52"/>
  <c r="P31" i="52"/>
  <c r="P4" i="52"/>
  <c r="P13" i="52"/>
  <c r="P22" i="52"/>
  <c r="P69" i="52"/>
  <c r="P47" i="52"/>
  <c r="P42" i="52"/>
  <c r="P58" i="52"/>
  <c r="P56" i="52"/>
  <c r="P2" i="52"/>
  <c r="P11" i="52"/>
  <c r="P20" i="52"/>
  <c r="P29" i="52"/>
  <c r="P63" i="52"/>
  <c r="P72" i="52"/>
  <c r="P73" i="52"/>
  <c r="P40" i="52"/>
  <c r="P49" i="52"/>
  <c r="P92" i="52"/>
  <c r="P5" i="52"/>
  <c r="P14" i="52"/>
  <c r="P23" i="52"/>
  <c r="P33" i="52"/>
  <c r="P53" i="52"/>
  <c r="P51" i="52"/>
  <c r="P80" i="52"/>
  <c r="P82" i="52"/>
  <c r="P46" i="52"/>
  <c r="P87" i="52"/>
  <c r="P37" i="52"/>
  <c r="P61" i="52"/>
  <c r="P85" i="52"/>
  <c r="P41" i="52"/>
  <c r="P8" i="52"/>
  <c r="P17" i="52"/>
  <c r="P26" i="52"/>
  <c r="P75" i="52"/>
  <c r="P68" i="52"/>
  <c r="P89" i="52"/>
  <c r="P70" i="52"/>
  <c r="P38" i="52"/>
  <c r="P43" i="52"/>
  <c r="P44" i="52"/>
  <c r="P36" i="52"/>
  <c r="P32" i="52"/>
  <c r="P45" i="52"/>
  <c r="O43" i="52"/>
  <c r="O32" i="52"/>
  <c r="O66" i="52"/>
  <c r="O72" i="52"/>
  <c r="O89" i="52"/>
  <c r="O9" i="52"/>
  <c r="O18" i="52"/>
  <c r="O27" i="52"/>
  <c r="O88" i="52"/>
  <c r="O62" i="52"/>
  <c r="O91" i="52"/>
  <c r="O46" i="52"/>
  <c r="O34" i="52"/>
  <c r="O57" i="52"/>
  <c r="O36" i="52"/>
  <c r="O50" i="52"/>
  <c r="O79" i="52"/>
  <c r="O35" i="52"/>
  <c r="O54" i="52"/>
  <c r="O76" i="52"/>
  <c r="O60" i="52"/>
  <c r="O84" i="52"/>
  <c r="O41" i="52"/>
  <c r="O3" i="52"/>
  <c r="O12" i="52"/>
  <c r="O21" i="52"/>
  <c r="O30" i="52"/>
  <c r="O31" i="52"/>
  <c r="O71" i="52"/>
  <c r="O81" i="52"/>
  <c r="O90" i="52"/>
  <c r="O44" i="52"/>
  <c r="O86" i="52"/>
  <c r="O67" i="52"/>
  <c r="O78" i="52"/>
  <c r="O47" i="52"/>
  <c r="O64" i="52"/>
  <c r="O48" i="52"/>
  <c r="O53" i="52"/>
  <c r="O40" i="52"/>
  <c r="O59" i="52"/>
  <c r="O83" i="52"/>
  <c r="O6" i="52"/>
  <c r="O15" i="52"/>
  <c r="O24" i="52"/>
  <c r="O52" i="52"/>
  <c r="O74" i="52"/>
  <c r="O55" i="52"/>
  <c r="O4" i="52"/>
  <c r="O13" i="52"/>
  <c r="O22" i="52"/>
  <c r="O69" i="52"/>
  <c r="O19" i="52"/>
  <c r="O65" i="52"/>
  <c r="O5" i="52"/>
  <c r="O14" i="52"/>
  <c r="O23" i="52"/>
  <c r="O58" i="52"/>
  <c r="O33" i="52"/>
  <c r="O56" i="52"/>
  <c r="O93" i="52"/>
  <c r="O63" i="52"/>
  <c r="O25" i="52"/>
  <c r="O73" i="52"/>
  <c r="O28" i="52"/>
  <c r="O37" i="52"/>
  <c r="O8" i="52"/>
  <c r="O17" i="52"/>
  <c r="O26" i="52"/>
  <c r="O45" i="52"/>
  <c r="O49" i="52"/>
  <c r="O92" i="52"/>
  <c r="O39" i="52"/>
  <c r="O51" i="52"/>
  <c r="O38" i="52"/>
  <c r="O80" i="52"/>
  <c r="O7" i="52"/>
  <c r="O77" i="52"/>
  <c r="O82" i="52"/>
  <c r="O87" i="52"/>
  <c r="O61" i="52"/>
  <c r="O10" i="52"/>
  <c r="O2" i="52"/>
  <c r="O11" i="52"/>
  <c r="O20" i="52"/>
  <c r="O29" i="52"/>
  <c r="O85" i="52"/>
  <c r="O42" i="52"/>
  <c r="O75" i="52"/>
  <c r="O68" i="52"/>
  <c r="O16" i="52"/>
  <c r="O70" i="52"/>
  <c r="M27" i="52"/>
  <c r="M59" i="52"/>
  <c r="M83" i="52"/>
  <c r="M88" i="52"/>
  <c r="M74" i="52"/>
  <c r="M91" i="52"/>
  <c r="M21" i="52"/>
  <c r="M3" i="52"/>
  <c r="M15" i="52"/>
  <c r="M69" i="52"/>
  <c r="M4" i="52"/>
  <c r="M13" i="52"/>
  <c r="M22" i="52"/>
  <c r="M9" i="52"/>
  <c r="M24" i="52"/>
  <c r="M79" i="52"/>
  <c r="M12" i="52"/>
  <c r="M18" i="52"/>
  <c r="M66" i="52"/>
  <c r="M76" i="52"/>
  <c r="M72" i="52"/>
  <c r="M37" i="52"/>
  <c r="M89" i="52"/>
  <c r="M6" i="52"/>
  <c r="M48" i="52"/>
  <c r="M57" i="52"/>
  <c r="M62" i="52"/>
  <c r="M77" i="52"/>
  <c r="M8" i="52"/>
  <c r="M31" i="52"/>
  <c r="M7" i="52"/>
  <c r="M16" i="52"/>
  <c r="M25" i="52"/>
  <c r="M54" i="52"/>
  <c r="M36" i="52"/>
  <c r="M50" i="52"/>
  <c r="M67" i="52"/>
  <c r="M41" i="52"/>
  <c r="M64" i="52"/>
  <c r="M84" i="52"/>
  <c r="M43" i="52"/>
  <c r="M71" i="52"/>
  <c r="M81" i="52"/>
  <c r="M10" i="52"/>
  <c r="M19" i="52"/>
  <c r="M28" i="52"/>
  <c r="M44" i="52"/>
  <c r="M90" i="52"/>
  <c r="M47" i="52"/>
  <c r="M86" i="52"/>
  <c r="M55" i="52"/>
  <c r="M32" i="52"/>
  <c r="M78" i="52"/>
  <c r="M35" i="52"/>
  <c r="M52" i="52"/>
  <c r="M53" i="52"/>
  <c r="M33" i="52"/>
  <c r="M45" i="52"/>
  <c r="M75" i="52"/>
  <c r="M68" i="52"/>
  <c r="M40" i="52"/>
  <c r="M65" i="52"/>
  <c r="M2" i="52"/>
  <c r="M20" i="52"/>
  <c r="M58" i="52"/>
  <c r="M73" i="52"/>
  <c r="M5" i="52"/>
  <c r="M23" i="52"/>
  <c r="M93" i="52"/>
  <c r="M46" i="52"/>
  <c r="M56" i="52"/>
  <c r="M63" i="52"/>
  <c r="M82" i="52"/>
  <c r="M38" i="52"/>
  <c r="M34" i="52"/>
  <c r="M61" i="52"/>
  <c r="M11" i="52"/>
  <c r="M26" i="52"/>
  <c r="M85" i="52"/>
  <c r="M30" i="52"/>
  <c r="M14" i="52"/>
  <c r="M51" i="52"/>
  <c r="M39" i="52"/>
  <c r="M92" i="52"/>
  <c r="M60" i="52"/>
  <c r="M80" i="52"/>
  <c r="M29" i="52"/>
  <c r="M70" i="52"/>
  <c r="M87" i="52"/>
  <c r="M49" i="52"/>
  <c r="M17" i="52"/>
  <c r="M42" i="52"/>
  <c r="L90" i="52"/>
  <c r="L47" i="52"/>
  <c r="L86" i="52"/>
  <c r="L55" i="52"/>
  <c r="L78" i="52"/>
  <c r="L52" i="52"/>
  <c r="L10" i="52"/>
  <c r="L19" i="52"/>
  <c r="L28" i="52"/>
  <c r="L53" i="52"/>
  <c r="L59" i="52"/>
  <c r="L83" i="52"/>
  <c r="L88" i="52"/>
  <c r="L74" i="52"/>
  <c r="L91" i="52"/>
  <c r="L69" i="52"/>
  <c r="L35" i="52"/>
  <c r="L79" i="52"/>
  <c r="L37" i="52"/>
  <c r="L66" i="52"/>
  <c r="L76" i="52"/>
  <c r="L4" i="52"/>
  <c r="L13" i="52"/>
  <c r="L22" i="52"/>
  <c r="L72" i="52"/>
  <c r="L89" i="52"/>
  <c r="L57" i="52"/>
  <c r="L62" i="52"/>
  <c r="L31" i="52"/>
  <c r="L32" i="52"/>
  <c r="L54" i="52"/>
  <c r="L50" i="52"/>
  <c r="L67" i="52"/>
  <c r="L41" i="52"/>
  <c r="L64" i="52"/>
  <c r="L7" i="52"/>
  <c r="L16" i="52"/>
  <c r="L25" i="52"/>
  <c r="L84" i="52"/>
  <c r="L51" i="52"/>
  <c r="L93" i="52"/>
  <c r="L5" i="52"/>
  <c r="L14" i="52"/>
  <c r="L23" i="52"/>
  <c r="L65" i="52"/>
  <c r="L71" i="52"/>
  <c r="L36" i="52"/>
  <c r="L81" i="52"/>
  <c r="L44" i="52"/>
  <c r="L33" i="52"/>
  <c r="L11" i="52"/>
  <c r="L3" i="52"/>
  <c r="L12" i="52"/>
  <c r="L21" i="52"/>
  <c r="L30" i="52"/>
  <c r="L48" i="52"/>
  <c r="L46" i="52"/>
  <c r="L75" i="52"/>
  <c r="L34" i="52"/>
  <c r="L68" i="52"/>
  <c r="L17" i="52"/>
  <c r="L58" i="52"/>
  <c r="L73" i="52"/>
  <c r="L20" i="52"/>
  <c r="L56" i="52"/>
  <c r="L6" i="52"/>
  <c r="L15" i="52"/>
  <c r="L24" i="52"/>
  <c r="L39" i="52"/>
  <c r="L63" i="52"/>
  <c r="L26" i="52"/>
  <c r="L82" i="52"/>
  <c r="L61" i="52"/>
  <c r="L2" i="52"/>
  <c r="L29" i="52"/>
  <c r="L77" i="52"/>
  <c r="L40" i="52"/>
  <c r="L38" i="52"/>
  <c r="L85" i="52"/>
  <c r="L60" i="52"/>
  <c r="L45" i="52"/>
  <c r="L42" i="52"/>
  <c r="L92" i="52"/>
  <c r="L9" i="52"/>
  <c r="L18" i="52"/>
  <c r="L27" i="52"/>
  <c r="L80" i="52"/>
  <c r="L8" i="52"/>
  <c r="L70" i="52"/>
  <c r="L87" i="52"/>
  <c r="L43" i="52"/>
  <c r="L49" i="52"/>
  <c r="W71" i="52"/>
  <c r="W7" i="52"/>
  <c r="W16" i="52"/>
  <c r="W25" i="52"/>
  <c r="W39" i="52"/>
  <c r="W81" i="52"/>
  <c r="W90" i="52"/>
  <c r="W86" i="52"/>
  <c r="W55" i="52"/>
  <c r="W78" i="52"/>
  <c r="W52" i="52"/>
  <c r="W46" i="52"/>
  <c r="W59" i="52"/>
  <c r="W83" i="52"/>
  <c r="W88" i="52"/>
  <c r="W74" i="52"/>
  <c r="W91" i="52"/>
  <c r="W36" i="52"/>
  <c r="W10" i="52"/>
  <c r="W19" i="52"/>
  <c r="W28" i="52"/>
  <c r="W69" i="52"/>
  <c r="W8" i="52"/>
  <c r="W17" i="52"/>
  <c r="W26" i="52"/>
  <c r="W42" i="52"/>
  <c r="W45" i="52"/>
  <c r="W79" i="52"/>
  <c r="W66" i="52"/>
  <c r="W76" i="52"/>
  <c r="W32" i="52"/>
  <c r="W57" i="52"/>
  <c r="W62" i="52"/>
  <c r="W48" i="52"/>
  <c r="W77" i="52"/>
  <c r="W4" i="52"/>
  <c r="W13" i="52"/>
  <c r="W22" i="52"/>
  <c r="W37" i="52"/>
  <c r="W54" i="52"/>
  <c r="W50" i="52"/>
  <c r="W67" i="52"/>
  <c r="W30" i="52"/>
  <c r="W60" i="52"/>
  <c r="W64" i="52"/>
  <c r="W43" i="52"/>
  <c r="W84" i="52"/>
  <c r="W93" i="52"/>
  <c r="W44" i="52"/>
  <c r="W65" i="52"/>
  <c r="W89" i="52"/>
  <c r="W70" i="52"/>
  <c r="W87" i="52"/>
  <c r="W20" i="52"/>
  <c r="W41" i="52"/>
  <c r="W23" i="52"/>
  <c r="W34" i="52"/>
  <c r="W6" i="52"/>
  <c r="W15" i="52"/>
  <c r="W24" i="52"/>
  <c r="W49" i="52"/>
  <c r="W75" i="52"/>
  <c r="W47" i="52"/>
  <c r="W68" i="52"/>
  <c r="W72" i="52"/>
  <c r="W58" i="52"/>
  <c r="W73" i="52"/>
  <c r="W2" i="52"/>
  <c r="W29" i="52"/>
  <c r="W33" i="52"/>
  <c r="W5" i="52"/>
  <c r="W9" i="52"/>
  <c r="W18" i="52"/>
  <c r="W27" i="52"/>
  <c r="W56" i="52"/>
  <c r="W53" i="52"/>
  <c r="W63" i="52"/>
  <c r="W35" i="52"/>
  <c r="W38" i="52"/>
  <c r="W82" i="52"/>
  <c r="W51" i="52"/>
  <c r="W61" i="52"/>
  <c r="W31" i="52"/>
  <c r="W11" i="52"/>
  <c r="W40" i="52"/>
  <c r="W85" i="52"/>
  <c r="W14" i="52"/>
  <c r="W3" i="52"/>
  <c r="W12" i="52"/>
  <c r="W21" i="52"/>
  <c r="W92" i="52"/>
  <c r="W80" i="52"/>
  <c r="T66" i="52"/>
  <c r="T76" i="52"/>
  <c r="T41" i="52"/>
  <c r="T57" i="52"/>
  <c r="T50" i="52"/>
  <c r="T65" i="52"/>
  <c r="T71" i="52"/>
  <c r="T38" i="52"/>
  <c r="T54" i="52"/>
  <c r="T2" i="52"/>
  <c r="T11" i="52"/>
  <c r="T20" i="52"/>
  <c r="T29" i="52"/>
  <c r="T40" i="52"/>
  <c r="T39" i="52"/>
  <c r="T86" i="52"/>
  <c r="T67" i="52"/>
  <c r="T60" i="52"/>
  <c r="T52" i="52"/>
  <c r="T44" i="52"/>
  <c r="T64" i="52"/>
  <c r="T84" i="52"/>
  <c r="T9" i="52"/>
  <c r="T18" i="52"/>
  <c r="T27" i="52"/>
  <c r="T83" i="52"/>
  <c r="T74" i="52"/>
  <c r="T55" i="52"/>
  <c r="T93" i="52"/>
  <c r="T53" i="52"/>
  <c r="T59" i="52"/>
  <c r="T43" i="52"/>
  <c r="T81" i="52"/>
  <c r="T90" i="52"/>
  <c r="T37" i="52"/>
  <c r="T5" i="52"/>
  <c r="T14" i="52"/>
  <c r="T23" i="52"/>
  <c r="T78" i="52"/>
  <c r="T33" i="52"/>
  <c r="T88" i="52"/>
  <c r="T45" i="52"/>
  <c r="T62" i="52"/>
  <c r="T91" i="52"/>
  <c r="T77" i="52"/>
  <c r="T69" i="52"/>
  <c r="T34" i="52"/>
  <c r="T8" i="52"/>
  <c r="T17" i="52"/>
  <c r="T26" i="52"/>
  <c r="T79" i="52"/>
  <c r="T92" i="52"/>
  <c r="T42" i="52"/>
  <c r="T12" i="52"/>
  <c r="T63" i="52"/>
  <c r="T80" i="52"/>
  <c r="T48" i="52"/>
  <c r="T15" i="52"/>
  <c r="T82" i="52"/>
  <c r="T47" i="52"/>
  <c r="T51" i="52"/>
  <c r="T46" i="52"/>
  <c r="T61" i="52"/>
  <c r="T35" i="52"/>
  <c r="T49" i="52"/>
  <c r="T4" i="52"/>
  <c r="T13" i="52"/>
  <c r="T22" i="52"/>
  <c r="T85" i="52"/>
  <c r="T21" i="52"/>
  <c r="T68" i="52"/>
  <c r="T72" i="52"/>
  <c r="T24" i="52"/>
  <c r="T70" i="52"/>
  <c r="T87" i="52"/>
  <c r="T7" i="52"/>
  <c r="T16" i="52"/>
  <c r="T25" i="52"/>
  <c r="T58" i="52"/>
  <c r="T36" i="52"/>
  <c r="T3" i="52"/>
  <c r="T30" i="52"/>
  <c r="T89" i="52"/>
  <c r="T75" i="52"/>
  <c r="T56" i="52"/>
  <c r="T32" i="52"/>
  <c r="T6" i="52"/>
  <c r="T31" i="52"/>
  <c r="T73" i="52"/>
  <c r="T10" i="52"/>
  <c r="T19" i="52"/>
  <c r="T28" i="52"/>
  <c r="X78" i="52"/>
  <c r="X31" i="52"/>
  <c r="X52" i="52"/>
  <c r="X42" i="52"/>
  <c r="X59" i="52"/>
  <c r="X83" i="52"/>
  <c r="X36" i="52"/>
  <c r="X88" i="52"/>
  <c r="X74" i="52"/>
  <c r="X91" i="52"/>
  <c r="X10" i="52"/>
  <c r="X19" i="52"/>
  <c r="X28" i="52"/>
  <c r="X69" i="52"/>
  <c r="X51" i="52"/>
  <c r="X45" i="52"/>
  <c r="X79" i="52"/>
  <c r="X8" i="52"/>
  <c r="X17" i="52"/>
  <c r="X26" i="52"/>
  <c r="X66" i="52"/>
  <c r="X76" i="52"/>
  <c r="X72" i="52"/>
  <c r="X89" i="52"/>
  <c r="X32" i="52"/>
  <c r="X57" i="52"/>
  <c r="X62" i="52"/>
  <c r="X77" i="52"/>
  <c r="X48" i="52"/>
  <c r="X4" i="52"/>
  <c r="X13" i="52"/>
  <c r="X22" i="52"/>
  <c r="X54" i="52"/>
  <c r="X50" i="52"/>
  <c r="X67" i="52"/>
  <c r="X39" i="52"/>
  <c r="X60" i="52"/>
  <c r="X2" i="52"/>
  <c r="X11" i="52"/>
  <c r="X20" i="52"/>
  <c r="X29" i="52"/>
  <c r="X40" i="52"/>
  <c r="X41" i="52"/>
  <c r="X64" i="52"/>
  <c r="X93" i="52"/>
  <c r="X65" i="52"/>
  <c r="X37" i="52"/>
  <c r="X71" i="52"/>
  <c r="X7" i="52"/>
  <c r="X16" i="52"/>
  <c r="X25" i="52"/>
  <c r="X81" i="52"/>
  <c r="X44" i="52"/>
  <c r="X43" i="52"/>
  <c r="X90" i="52"/>
  <c r="X47" i="52"/>
  <c r="X46" i="52"/>
  <c r="X86" i="52"/>
  <c r="X55" i="52"/>
  <c r="X5" i="52"/>
  <c r="X14" i="52"/>
  <c r="X23" i="52"/>
  <c r="X34" i="52"/>
  <c r="X75" i="52"/>
  <c r="X68" i="52"/>
  <c r="X35" i="52"/>
  <c r="X58" i="52"/>
  <c r="X3" i="52"/>
  <c r="X12" i="52"/>
  <c r="X21" i="52"/>
  <c r="X73" i="52"/>
  <c r="X56" i="52"/>
  <c r="X84" i="52"/>
  <c r="X63" i="52"/>
  <c r="X33" i="52"/>
  <c r="X53" i="52"/>
  <c r="X82" i="52"/>
  <c r="X6" i="52"/>
  <c r="X15" i="52"/>
  <c r="X24" i="52"/>
  <c r="X61" i="52"/>
  <c r="X38" i="52"/>
  <c r="X85" i="52"/>
  <c r="X92" i="52"/>
  <c r="X80" i="52"/>
  <c r="X70" i="52"/>
  <c r="X87" i="52"/>
  <c r="X30" i="52"/>
  <c r="X9" i="52"/>
  <c r="X18" i="52"/>
  <c r="X27" i="52"/>
  <c r="X49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372" i="17" l="1"/>
  <c r="A117" i="14"/>
  <c r="A75" i="17"/>
  <c r="A69" i="15"/>
  <c r="A78" i="16"/>
  <c r="A112" i="14"/>
  <c r="A113" i="14"/>
  <c r="A303" i="15"/>
  <c r="A114" i="14"/>
  <c r="A115" i="14"/>
  <c r="A116" i="14"/>
  <c r="A31" i="18"/>
  <c r="A114" i="11"/>
  <c r="A30" i="18"/>
  <c r="A119" i="14"/>
  <c r="A25" i="11"/>
  <c r="A118" i="14"/>
  <c r="A182" i="18"/>
  <c r="A374" i="17"/>
  <c r="A305" i="15"/>
  <c r="A592" i="14"/>
  <c r="A425" i="16"/>
  <c r="A427" i="16"/>
  <c r="A594" i="14"/>
  <c r="A183" i="18"/>
  <c r="A373" i="17"/>
  <c r="A596" i="14"/>
  <c r="A426" i="16"/>
  <c r="A304" i="15"/>
  <c r="A429" i="16"/>
  <c r="A424" i="16"/>
  <c r="A306" i="15"/>
  <c r="A428" i="16"/>
  <c r="A595" i="14"/>
  <c r="A593" i="14"/>
  <c r="A430" i="16"/>
  <c r="A1080" i="14"/>
  <c r="A833" i="16"/>
  <c r="A547" i="15"/>
  <c r="A1195" i="14"/>
  <c r="A307" i="18"/>
  <c r="A741" i="16"/>
  <c r="A710" i="17"/>
  <c r="A1083" i="14"/>
  <c r="A548" i="15"/>
  <c r="A544" i="15"/>
  <c r="A1081" i="14"/>
  <c r="A213" i="11"/>
  <c r="A549" i="15"/>
  <c r="A708" i="17"/>
  <c r="A740" i="16"/>
  <c r="A545" i="15"/>
  <c r="A707" i="17"/>
  <c r="A1079" i="14"/>
  <c r="A1082" i="14"/>
  <c r="A546" i="15"/>
  <c r="A1078" i="14"/>
  <c r="A709" i="17"/>
  <c r="A308" i="18"/>
  <c r="A777" i="17"/>
  <c r="A1200" i="14"/>
  <c r="A837" i="16"/>
  <c r="A591" i="15"/>
  <c r="A835" i="16"/>
  <c r="A1197" i="14"/>
  <c r="A778" i="17"/>
  <c r="A1198" i="14"/>
  <c r="A343" i="18"/>
  <c r="A592" i="15"/>
  <c r="A329" i="14"/>
  <c r="A832" i="16"/>
  <c r="A237" i="11"/>
  <c r="A1196" i="14"/>
  <c r="A327" i="14"/>
  <c r="A1199" i="14"/>
  <c r="A342" i="18"/>
  <c r="A836" i="16"/>
  <c r="A834" i="16"/>
  <c r="A100" i="18"/>
  <c r="A230" i="16"/>
  <c r="A325" i="14"/>
  <c r="A330" i="14"/>
  <c r="A233" i="16"/>
  <c r="A197" i="17"/>
  <c r="A234" i="16"/>
  <c r="A231" i="16"/>
  <c r="A199" i="17"/>
  <c r="A326" i="14"/>
  <c r="A328" i="14"/>
  <c r="A66" i="11"/>
  <c r="A166" i="15"/>
  <c r="A198" i="17"/>
  <c r="A229" i="16"/>
  <c r="A232" i="16"/>
  <c r="A167" i="15"/>
  <c r="A201" i="18"/>
  <c r="A434" i="17"/>
  <c r="A348" i="15"/>
  <c r="A680" i="14"/>
  <c r="A202" i="18"/>
  <c r="A682" i="14"/>
  <c r="A346" i="15"/>
  <c r="A435" i="17"/>
  <c r="A678" i="14"/>
  <c r="A349" i="15"/>
  <c r="A684" i="14"/>
  <c r="A681" i="14"/>
  <c r="A433" i="17"/>
  <c r="A350" i="15"/>
  <c r="A347" i="15"/>
  <c r="A481" i="16"/>
  <c r="A679" i="14"/>
  <c r="A1115" i="14"/>
  <c r="A131" i="11"/>
  <c r="A683" i="14"/>
  <c r="A480" i="16"/>
  <c r="A351" i="15"/>
  <c r="A1114" i="14"/>
  <c r="A757" i="16"/>
  <c r="A729" i="17"/>
  <c r="A758" i="16"/>
  <c r="A731" i="17"/>
  <c r="A561" i="15"/>
  <c r="A1117" i="14"/>
  <c r="A564" i="15"/>
  <c r="A1109" i="14"/>
  <c r="A732" i="17"/>
  <c r="A730" i="17"/>
  <c r="A563" i="15"/>
  <c r="A759" i="16"/>
  <c r="A1118" i="14"/>
  <c r="A1116" i="14"/>
  <c r="A756" i="16"/>
  <c r="A760" i="16"/>
  <c r="A316" i="18"/>
  <c r="A220" i="11"/>
  <c r="A616" i="16"/>
  <c r="A754" i="16"/>
  <c r="A726" i="17"/>
  <c r="A750" i="16"/>
  <c r="A752" i="16"/>
  <c r="A727" i="17"/>
  <c r="A1108" i="14"/>
  <c r="A1113" i="14"/>
  <c r="A1111" i="14"/>
  <c r="A728" i="17"/>
  <c r="A751" i="16"/>
  <c r="A753" i="16"/>
  <c r="A755" i="16"/>
  <c r="A1110" i="14"/>
  <c r="A1112" i="14"/>
  <c r="A219" i="11"/>
  <c r="A585" i="17"/>
  <c r="A315" i="18"/>
  <c r="A562" i="15"/>
  <c r="A589" i="17"/>
  <c r="A582" i="17"/>
  <c r="A892" i="14"/>
  <c r="A893" i="14"/>
  <c r="A173" i="11"/>
  <c r="A300" i="14"/>
  <c r="A587" i="17"/>
  <c r="A452" i="15"/>
  <c r="A451" i="15"/>
  <c r="A590" i="17"/>
  <c r="A586" i="17"/>
  <c r="A617" i="16"/>
  <c r="A895" i="14"/>
  <c r="A583" i="17"/>
  <c r="A219" i="16"/>
  <c r="A259" i="18"/>
  <c r="A588" i="17"/>
  <c r="A584" i="17"/>
  <c r="A301" i="14"/>
  <c r="A894" i="14"/>
  <c r="A896" i="14"/>
  <c r="A220" i="16"/>
  <c r="A215" i="16"/>
  <c r="A188" i="17"/>
  <c r="A96" i="18"/>
  <c r="A189" i="17"/>
  <c r="A216" i="16"/>
  <c r="A298" i="14"/>
  <c r="A158" i="15"/>
  <c r="A190" i="17"/>
  <c r="A302" i="14"/>
  <c r="A218" i="16"/>
  <c r="A187" i="17"/>
  <c r="A299" i="14"/>
  <c r="A217" i="16"/>
  <c r="A159" i="15"/>
  <c r="A191" i="17"/>
  <c r="A62" i="11"/>
  <c r="A95" i="18"/>
  <c r="H158" i="51"/>
  <c r="T158" i="51" s="1"/>
  <c r="A1100" i="14"/>
  <c r="A1106" i="14"/>
  <c r="A560" i="15"/>
  <c r="A720" i="17"/>
  <c r="A1107" i="14"/>
  <c r="A1101" i="14"/>
  <c r="A314" i="18"/>
  <c r="A1103" i="14"/>
  <c r="A1104" i="14"/>
  <c r="A725" i="17"/>
  <c r="A749" i="16"/>
  <c r="A218" i="11"/>
  <c r="A1102" i="14"/>
  <c r="A1105" i="14"/>
  <c r="A1094" i="14"/>
  <c r="A552" i="15"/>
  <c r="A719" i="17"/>
  <c r="A553" i="15"/>
  <c r="A216" i="11"/>
  <c r="A1091" i="14"/>
  <c r="A311" i="18"/>
  <c r="A1092" i="14"/>
  <c r="A191" i="15"/>
  <c r="A717" i="17"/>
  <c r="A1090" i="14"/>
  <c r="A746" i="16"/>
  <c r="A1093" i="14"/>
  <c r="A721" i="17"/>
  <c r="A253" i="17"/>
  <c r="A718" i="17"/>
  <c r="A715" i="17"/>
  <c r="A716" i="17"/>
  <c r="A745" i="16"/>
  <c r="A298" i="16"/>
  <c r="A413" i="14"/>
  <c r="A295" i="16"/>
  <c r="A299" i="16"/>
  <c r="A416" i="14"/>
  <c r="A254" i="17"/>
  <c r="A296" i="16"/>
  <c r="A300" i="16"/>
  <c r="A418" i="14"/>
  <c r="A414" i="14"/>
  <c r="A417" i="14"/>
  <c r="A301" i="16"/>
  <c r="A124" i="18"/>
  <c r="A255" i="17"/>
  <c r="A297" i="16"/>
  <c r="A123" i="18"/>
  <c r="A192" i="15"/>
  <c r="A415" i="14"/>
  <c r="A80" i="11"/>
  <c r="A557" i="14"/>
  <c r="A108" i="11"/>
  <c r="A556" i="14"/>
  <c r="A559" i="14"/>
  <c r="A403" i="16"/>
  <c r="A348" i="17"/>
  <c r="A406" i="16"/>
  <c r="A554" i="14"/>
  <c r="A351" i="17"/>
  <c r="A349" i="17"/>
  <c r="A171" i="18"/>
  <c r="A347" i="17"/>
  <c r="A500" i="14"/>
  <c r="A404" i="16"/>
  <c r="A172" i="18"/>
  <c r="A555" i="14"/>
  <c r="A402" i="16"/>
  <c r="A560" i="14"/>
  <c r="A289" i="15"/>
  <c r="A405" i="16"/>
  <c r="A558" i="14"/>
  <c r="A350" i="17"/>
  <c r="A290" i="15"/>
  <c r="A502" i="14"/>
  <c r="A499" i="14"/>
  <c r="A269" i="15"/>
  <c r="A97" i="11"/>
  <c r="A264" i="15"/>
  <c r="A309" i="18"/>
  <c r="A309" i="17"/>
  <c r="A155" i="18"/>
  <c r="A503" i="14"/>
  <c r="A352" i="16"/>
  <c r="A742" i="16"/>
  <c r="A270" i="15"/>
  <c r="A267" i="15"/>
  <c r="A153" i="18"/>
  <c r="A501" i="14"/>
  <c r="A498" i="14"/>
  <c r="A307" i="17"/>
  <c r="A265" i="15"/>
  <c r="A353" i="16"/>
  <c r="A96" i="11"/>
  <c r="A268" i="15"/>
  <c r="A350" i="16"/>
  <c r="A154" i="18"/>
  <c r="A308" i="17"/>
  <c r="A266" i="15"/>
  <c r="A351" i="16"/>
  <c r="A310" i="18"/>
  <c r="A215" i="11"/>
  <c r="A1086" i="14"/>
  <c r="A744" i="16"/>
  <c r="A743" i="16"/>
  <c r="A711" i="17"/>
  <c r="A713" i="17"/>
  <c r="A1087" i="14"/>
  <c r="A1089" i="14"/>
  <c r="A550" i="15"/>
  <c r="H101" i="51"/>
  <c r="M101" i="51" s="1"/>
  <c r="A1084" i="14"/>
  <c r="A712" i="17"/>
  <c r="A714" i="17"/>
  <c r="A551" i="15"/>
  <c r="A1085" i="14"/>
  <c r="A1088" i="14"/>
  <c r="A214" i="11"/>
  <c r="A766" i="16"/>
  <c r="A1123" i="14"/>
  <c r="A565" i="15"/>
  <c r="A762" i="16"/>
  <c r="A221" i="11"/>
  <c r="A735" i="17"/>
  <c r="A733" i="17"/>
  <c r="A1121" i="14"/>
  <c r="A763" i="16"/>
  <c r="A736" i="17"/>
  <c r="A1119" i="14"/>
  <c r="A317" i="18"/>
  <c r="A764" i="16"/>
  <c r="A1122" i="14"/>
  <c r="A734" i="17"/>
  <c r="A767" i="16"/>
  <c r="A765" i="16"/>
  <c r="A761" i="16"/>
  <c r="A1120" i="14"/>
  <c r="A318" i="18"/>
  <c r="A557" i="15"/>
  <c r="A559" i="15"/>
  <c r="A748" i="16"/>
  <c r="A217" i="11"/>
  <c r="A1095" i="14"/>
  <c r="A1097" i="14"/>
  <c r="A554" i="15"/>
  <c r="A1098" i="14"/>
  <c r="A722" i="17"/>
  <c r="A724" i="17"/>
  <c r="A1096" i="14"/>
  <c r="A558" i="15"/>
  <c r="A555" i="15"/>
  <c r="A312" i="18"/>
  <c r="A747" i="16"/>
  <c r="A556" i="15"/>
  <c r="A313" i="18"/>
  <c r="A723" i="17"/>
  <c r="A1099" i="14"/>
  <c r="A482" i="15"/>
  <c r="A943" i="14"/>
  <c r="A483" i="15"/>
  <c r="A636" i="16"/>
  <c r="A484" i="15"/>
  <c r="A610" i="17"/>
  <c r="A185" i="11"/>
  <c r="A942" i="14"/>
  <c r="A270" i="18"/>
  <c r="A611" i="17"/>
  <c r="A271" i="18"/>
  <c r="A612" i="17"/>
  <c r="A637" i="16"/>
  <c r="A945" i="14"/>
  <c r="A944" i="14"/>
  <c r="A941" i="14"/>
  <c r="A638" i="16"/>
  <c r="A186" i="11"/>
  <c r="A63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4" i="16"/>
  <c r="A604" i="17"/>
  <c r="A268" i="18"/>
  <c r="A932" i="14"/>
  <c r="A476" i="15"/>
  <c r="A931" i="14"/>
  <c r="A479" i="15"/>
  <c r="A930" i="14"/>
  <c r="A182" i="11"/>
  <c r="A933" i="14"/>
  <c r="A183" i="11"/>
  <c r="A627" i="16"/>
  <c r="A478" i="15"/>
  <c r="A606" i="17"/>
  <c r="A477" i="15"/>
  <c r="A605" i="17"/>
  <c r="A929" i="14"/>
  <c r="A935" i="14"/>
  <c r="A928" i="14"/>
  <c r="A628" i="16"/>
  <c r="A267" i="18"/>
  <c r="A934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34" i="11"/>
  <c r="A224" i="14"/>
  <c r="A225" i="14"/>
  <c r="A125" i="17"/>
  <c r="A157" i="16"/>
  <c r="A47" i="11"/>
  <c r="A126" i="17"/>
  <c r="A221" i="14"/>
  <c r="A128" i="17"/>
  <c r="A46" i="11"/>
  <c r="A227" i="14"/>
  <c r="A222" i="14"/>
  <c r="A114" i="15"/>
  <c r="A223" i="14"/>
  <c r="A127" i="17"/>
  <c r="A74" i="18"/>
  <c r="A158" i="16"/>
  <c r="A75" i="18"/>
  <c r="A226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2" i="14"/>
  <c r="A111" i="17"/>
  <c r="A139" i="16"/>
  <c r="A143" i="16"/>
  <c r="A109" i="15"/>
  <c r="H76" i="51"/>
  <c r="A66" i="18"/>
  <c r="A113" i="17"/>
  <c r="H142" i="51"/>
  <c r="A112" i="17"/>
  <c r="A137" i="16"/>
  <c r="A140" i="16"/>
  <c r="A198" i="14"/>
  <c r="H135" i="51"/>
  <c r="A108" i="15"/>
  <c r="A200" i="14"/>
  <c r="A136" i="16"/>
  <c r="A64" i="18"/>
  <c r="A138" i="16"/>
  <c r="A142" i="16"/>
  <c r="A65" i="18"/>
  <c r="A199" i="14"/>
  <c r="A201" i="14"/>
  <c r="A42" i="11"/>
  <c r="A141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09" i="16"/>
  <c r="A802" i="16"/>
  <c r="A808" i="16"/>
  <c r="A1164" i="14"/>
  <c r="A807" i="16"/>
  <c r="A763" i="17"/>
  <c r="A230" i="11"/>
  <c r="A579" i="15"/>
  <c r="A806" i="16"/>
  <c r="A762" i="17"/>
  <c r="A1160" i="14"/>
  <c r="A578" i="15"/>
  <c r="A805" i="16"/>
  <c r="A761" i="17"/>
  <c r="A1161" i="14"/>
  <c r="A810" i="16"/>
  <c r="A804" i="16"/>
  <c r="A332" i="18"/>
  <c r="A1162" i="14"/>
  <c r="A803" i="16"/>
  <c r="A1163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2" i="14"/>
  <c r="A324" i="17"/>
  <c r="A227" i="18"/>
  <c r="A250" i="18"/>
  <c r="A278" i="18"/>
  <c r="A290" i="18"/>
  <c r="A301" i="18"/>
  <c r="A324" i="18"/>
  <c r="A350" i="18"/>
  <c r="A181" i="18"/>
  <c r="B182" i="18" s="1"/>
  <c r="A208" i="18"/>
  <c r="A231" i="18"/>
  <c r="A254" i="18"/>
  <c r="A282" i="18"/>
  <c r="A306" i="18"/>
  <c r="A523" i="14"/>
  <c r="A372" i="16"/>
  <c r="A215" i="18"/>
  <c r="A238" i="18"/>
  <c r="A262" i="18"/>
  <c r="A277" i="18"/>
  <c r="A289" i="18"/>
  <c r="A300" i="18"/>
  <c r="A336" i="18"/>
  <c r="A167" i="18"/>
  <c r="A194" i="18"/>
  <c r="A219" i="18"/>
  <c r="A242" i="18"/>
  <c r="A266" i="18"/>
  <c r="A294" i="18"/>
  <c r="A371" i="16"/>
  <c r="A524" i="14"/>
  <c r="A203" i="18"/>
  <c r="A226" i="18"/>
  <c r="A249" i="18"/>
  <c r="A261" i="18"/>
  <c r="A276" i="18"/>
  <c r="A288" i="18"/>
  <c r="A323" i="18"/>
  <c r="A349" i="18"/>
  <c r="A180" i="18"/>
  <c r="A207" i="18"/>
  <c r="A230" i="18"/>
  <c r="A253" i="18"/>
  <c r="B254" i="18" s="1"/>
  <c r="A281" i="18"/>
  <c r="A163" i="18"/>
  <c r="A322" i="17"/>
  <c r="A189" i="18"/>
  <c r="A214" i="18"/>
  <c r="A237" i="18"/>
  <c r="A248" i="18"/>
  <c r="A260" i="18"/>
  <c r="A275" i="18"/>
  <c r="A299" i="18"/>
  <c r="A335" i="18"/>
  <c r="A166" i="18"/>
  <c r="B167" i="18" s="1"/>
  <c r="A193" i="18"/>
  <c r="A218" i="18"/>
  <c r="A241" i="18"/>
  <c r="A265" i="18"/>
  <c r="A326" i="17"/>
  <c r="A344" i="18"/>
  <c r="A175" i="18"/>
  <c r="A200" i="18"/>
  <c r="A225" i="18"/>
  <c r="A236" i="18"/>
  <c r="A247" i="18"/>
  <c r="A258" i="18"/>
  <c r="B259" i="18" s="1"/>
  <c r="A287" i="18"/>
  <c r="A322" i="18"/>
  <c r="A348" i="18"/>
  <c r="A179" i="18"/>
  <c r="B180" i="18" s="1"/>
  <c r="A206" i="18"/>
  <c r="A229" i="18"/>
  <c r="A252" i="18"/>
  <c r="A521" i="14"/>
  <c r="A329" i="18"/>
  <c r="A160" i="18"/>
  <c r="A188" i="18"/>
  <c r="A213" i="18"/>
  <c r="B214" i="18" s="1"/>
  <c r="A224" i="18"/>
  <c r="A235" i="18"/>
  <c r="A246" i="18"/>
  <c r="A274" i="18"/>
  <c r="A298" i="18"/>
  <c r="A334" i="18"/>
  <c r="A165" i="18"/>
  <c r="A192" i="18"/>
  <c r="A217" i="18"/>
  <c r="A240" i="18"/>
  <c r="A526" i="14"/>
  <c r="A305" i="18"/>
  <c r="A341" i="18"/>
  <c r="A174" i="18"/>
  <c r="A199" i="18"/>
  <c r="A212" i="18"/>
  <c r="B213" i="18" s="1"/>
  <c r="A223" i="18"/>
  <c r="A234" i="18"/>
  <c r="A257" i="18"/>
  <c r="A285" i="18"/>
  <c r="B286" i="18" s="1"/>
  <c r="A321" i="18"/>
  <c r="A347" i="18"/>
  <c r="A178" i="18"/>
  <c r="A205" i="18"/>
  <c r="A228" i="18"/>
  <c r="A369" i="16"/>
  <c r="A293" i="18"/>
  <c r="A328" i="18"/>
  <c r="A159" i="18"/>
  <c r="A187" i="18"/>
  <c r="A198" i="18"/>
  <c r="A211" i="18"/>
  <c r="A222" i="18"/>
  <c r="A245" i="18"/>
  <c r="A273" i="18"/>
  <c r="A297" i="18"/>
  <c r="A333" i="18"/>
  <c r="A164" i="18"/>
  <c r="A191" i="18"/>
  <c r="A216" i="18"/>
  <c r="B217" i="18" s="1"/>
  <c r="A277" i="15"/>
  <c r="A280" i="18"/>
  <c r="B281" i="18" s="1"/>
  <c r="A304" i="18"/>
  <c r="A340" i="18"/>
  <c r="A173" i="18"/>
  <c r="A186" i="18"/>
  <c r="A197" i="18"/>
  <c r="A210" i="18"/>
  <c r="A233" i="18"/>
  <c r="A256" i="18"/>
  <c r="A284" i="18"/>
  <c r="A320" i="18"/>
  <c r="A346" i="18"/>
  <c r="A177" i="18"/>
  <c r="A204" i="18"/>
  <c r="A325" i="17"/>
  <c r="A102" i="11"/>
  <c r="A264" i="18"/>
  <c r="A292" i="18"/>
  <c r="A327" i="18"/>
  <c r="A339" i="18"/>
  <c r="A170" i="18"/>
  <c r="B171" i="18" s="1"/>
  <c r="A185" i="18"/>
  <c r="A196" i="18"/>
  <c r="A221" i="18"/>
  <c r="B222" i="18" s="1"/>
  <c r="A244" i="18"/>
  <c r="A272" i="18"/>
  <c r="A296" i="18"/>
  <c r="A331" i="18"/>
  <c r="A162" i="18"/>
  <c r="A190" i="18"/>
  <c r="A323" i="17"/>
  <c r="A278" i="15"/>
  <c r="A251" i="18"/>
  <c r="A279" i="18"/>
  <c r="A303" i="18"/>
  <c r="A326" i="18"/>
  <c r="A338" i="18"/>
  <c r="A169" i="18"/>
  <c r="A184" i="18"/>
  <c r="A209" i="18"/>
  <c r="A232" i="18"/>
  <c r="A255" i="18"/>
  <c r="A283" i="18"/>
  <c r="A319" i="18"/>
  <c r="A345" i="18"/>
  <c r="A176" i="18"/>
  <c r="A525" i="14"/>
  <c r="A370" i="16"/>
  <c r="A239" i="18"/>
  <c r="A263" i="18"/>
  <c r="A291" i="18"/>
  <c r="A302" i="18"/>
  <c r="A325" i="18"/>
  <c r="A337" i="18"/>
  <c r="A168" i="18"/>
  <c r="A195" i="18"/>
  <c r="A220" i="18"/>
  <c r="A243" i="18"/>
  <c r="A269" i="18"/>
  <c r="B270" i="18" s="1"/>
  <c r="A295" i="18"/>
  <c r="A330" i="18"/>
  <c r="A161" i="18"/>
  <c r="A783" i="16"/>
  <c r="A744" i="17"/>
  <c r="A571" i="15"/>
  <c r="A1138" i="14"/>
  <c r="A1141" i="14"/>
  <c r="A787" i="16"/>
  <c r="A745" i="17"/>
  <c r="A784" i="16"/>
  <c r="A226" i="11"/>
  <c r="A1136" i="14"/>
  <c r="A1139" i="14"/>
  <c r="A1142" i="14"/>
  <c r="A743" i="17"/>
  <c r="A782" i="16"/>
  <c r="A785" i="16"/>
  <c r="A570" i="15"/>
  <c r="A1137" i="14"/>
  <c r="A1140" i="14"/>
  <c r="A786" i="16"/>
  <c r="A225" i="11"/>
  <c r="A625" i="17"/>
  <c r="A188" i="11"/>
  <c r="A488" i="15"/>
  <c r="A953" i="14"/>
  <c r="A623" i="17"/>
  <c r="A647" i="16"/>
  <c r="A644" i="16"/>
  <c r="A626" i="17"/>
  <c r="A951" i="14"/>
  <c r="A621" i="17"/>
  <c r="A189" i="11"/>
  <c r="A954" i="14"/>
  <c r="A645" i="16"/>
  <c r="A487" i="15"/>
  <c r="A624" i="17"/>
  <c r="A627" i="17"/>
  <c r="A643" i="16"/>
  <c r="A952" i="14"/>
  <c r="A622" i="17"/>
  <c r="A646" i="16"/>
  <c r="A955" i="14"/>
  <c r="A599" i="14"/>
  <c r="A377" i="17"/>
  <c r="A310" i="15"/>
  <c r="A311" i="15"/>
  <c r="A115" i="11"/>
  <c r="A600" i="14"/>
  <c r="A307" i="15"/>
  <c r="A385" i="16"/>
  <c r="A375" i="17"/>
  <c r="A312" i="15"/>
  <c r="A116" i="11"/>
  <c r="A431" i="16"/>
  <c r="A598" i="14"/>
  <c r="A601" i="14"/>
  <c r="A308" i="15"/>
  <c r="A376" i="17"/>
  <c r="A432" i="16"/>
  <c r="A309" i="15"/>
  <c r="A597" i="14"/>
  <c r="A292" i="17"/>
  <c r="A285" i="17"/>
  <c r="A227" i="15"/>
  <c r="A288" i="17"/>
  <c r="A466" i="14"/>
  <c r="A323" i="16"/>
  <c r="A138" i="18"/>
  <c r="A89" i="11"/>
  <c r="A137" i="18"/>
  <c r="A287" i="17"/>
  <c r="A90" i="11"/>
  <c r="A326" i="16"/>
  <c r="A471" i="14"/>
  <c r="A289" i="17"/>
  <c r="A234" i="15"/>
  <c r="A231" i="15"/>
  <c r="A473" i="14"/>
  <c r="A469" i="14"/>
  <c r="A230" i="15"/>
  <c r="A88" i="11"/>
  <c r="B89" i="11" s="1"/>
  <c r="A224" i="15"/>
  <c r="A461" i="14"/>
  <c r="A293" i="17"/>
  <c r="A468" i="14"/>
  <c r="A229" i="15"/>
  <c r="A463" i="14"/>
  <c r="A465" i="14"/>
  <c r="A228" i="15"/>
  <c r="A235" i="15"/>
  <c r="A327" i="16"/>
  <c r="A467" i="14"/>
  <c r="A331" i="16"/>
  <c r="A284" i="17"/>
  <c r="A460" i="14"/>
  <c r="A232" i="15"/>
  <c r="A464" i="14"/>
  <c r="A290" i="17"/>
  <c r="A286" i="17"/>
  <c r="A462" i="14"/>
  <c r="A330" i="16"/>
  <c r="A325" i="16"/>
  <c r="A470" i="14"/>
  <c r="A329" i="16"/>
  <c r="A139" i="18"/>
  <c r="B140" i="18" s="1"/>
  <c r="A233" i="15"/>
  <c r="A328" i="16"/>
  <c r="A472" i="14"/>
  <c r="A226" i="15"/>
  <c r="A291" i="17"/>
  <c r="B292" i="17" s="1"/>
  <c r="A140" i="18"/>
  <c r="A225" i="15"/>
  <c r="A324" i="16"/>
  <c r="A294" i="17"/>
  <c r="A83" i="18"/>
  <c r="A262" i="14"/>
  <c r="A141" i="15"/>
  <c r="A146" i="17"/>
  <c r="A140" i="15"/>
  <c r="A264" i="14"/>
  <c r="A143" i="15"/>
  <c r="A81" i="18"/>
  <c r="A148" i="17"/>
  <c r="A144" i="15"/>
  <c r="A183" i="16"/>
  <c r="A180" i="16"/>
  <c r="A147" i="17"/>
  <c r="A266" i="14"/>
  <c r="A82" i="18"/>
  <c r="A259" i="14"/>
  <c r="A257" i="14"/>
  <c r="A267" i="14"/>
  <c r="A145" i="15"/>
  <c r="A261" i="14"/>
  <c r="A258" i="14"/>
  <c r="A182" i="16"/>
  <c r="A54" i="11"/>
  <c r="A142" i="15"/>
  <c r="A268" i="14"/>
  <c r="A139" i="15"/>
  <c r="A181" i="16"/>
  <c r="A260" i="14"/>
  <c r="A263" i="14"/>
  <c r="A265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81" i="11"/>
  <c r="B182" i="11" s="1"/>
  <c r="B183" i="11" s="1"/>
  <c r="A169" i="11"/>
  <c r="A20" i="17"/>
  <c r="A205" i="11"/>
  <c r="A127" i="11"/>
  <c r="A17" i="11"/>
  <c r="A222" i="11"/>
  <c r="A18" i="14"/>
  <c r="A101" i="11"/>
  <c r="B102" i="11" s="1"/>
  <c r="A125" i="11"/>
  <c r="A113" i="11"/>
  <c r="B114" i="11" s="1"/>
  <c r="A86" i="11"/>
  <c r="A32" i="11"/>
  <c r="B33" i="11" s="1"/>
  <c r="B34" i="11" s="1"/>
  <c r="A78" i="11"/>
  <c r="A224" i="11"/>
  <c r="A106" i="11"/>
  <c r="A208" i="11"/>
  <c r="A10" i="11"/>
  <c r="A82" i="11"/>
  <c r="A172" i="11"/>
  <c r="B173" i="11" s="1"/>
  <c r="A23" i="17"/>
  <c r="A124" i="11"/>
  <c r="A160" i="11"/>
  <c r="A234" i="11"/>
  <c r="A40" i="11"/>
  <c r="A13" i="11"/>
  <c r="A59" i="11"/>
  <c r="A162" i="11"/>
  <c r="A119" i="11"/>
  <c r="A41" i="11"/>
  <c r="A104" i="11"/>
  <c r="A143" i="11"/>
  <c r="A79" i="11"/>
  <c r="B80" i="11" s="1"/>
  <c r="A98" i="11"/>
  <c r="A207" i="11"/>
  <c r="A8" i="15"/>
  <c r="A18" i="11"/>
  <c r="A37" i="11"/>
  <c r="A242" i="11"/>
  <c r="A105" i="11"/>
  <c r="B106" i="11" s="1"/>
  <c r="A21" i="14"/>
  <c r="A7" i="11"/>
  <c r="A148" i="11"/>
  <c r="A161" i="11"/>
  <c r="A130" i="11"/>
  <c r="B131" i="11" s="1"/>
  <c r="A210" i="11"/>
  <c r="A75" i="11"/>
  <c r="A26" i="11"/>
  <c r="A206" i="11"/>
  <c r="A22" i="11"/>
  <c r="A166" i="11"/>
  <c r="A71" i="11"/>
  <c r="A184" i="11"/>
  <c r="A16" i="11"/>
  <c r="A19" i="14"/>
  <c r="A191" i="11"/>
  <c r="A107" i="11"/>
  <c r="B108" i="11" s="1"/>
  <c r="A9" i="15"/>
  <c r="A22" i="14"/>
  <c r="A145" i="11"/>
  <c r="A23" i="11"/>
  <c r="A133" i="11"/>
  <c r="A12" i="11"/>
  <c r="A132" i="11"/>
  <c r="A241" i="11"/>
  <c r="A190" i="11"/>
  <c r="A244" i="11"/>
  <c r="A67" i="11"/>
  <c r="A20" i="14"/>
  <c r="A142" i="11"/>
  <c r="A170" i="11"/>
  <c r="A197" i="11"/>
  <c r="A146" i="11"/>
  <c r="A159" i="11"/>
  <c r="A140" i="11"/>
  <c r="A136" i="11"/>
  <c r="A202" i="11"/>
  <c r="A24" i="11"/>
  <c r="B25" i="11" s="1"/>
  <c r="A179" i="11"/>
  <c r="A180" i="11"/>
  <c r="A138" i="11"/>
  <c r="A175" i="11"/>
  <c r="A28" i="11"/>
  <c r="A56" i="11"/>
  <c r="B57" i="11" s="1"/>
  <c r="A36" i="11"/>
  <c r="A168" i="11"/>
  <c r="B169" i="11" s="1"/>
  <c r="A5" i="11"/>
  <c r="A70" i="11"/>
  <c r="B71" i="11" s="1"/>
  <c r="A21" i="17"/>
  <c r="A158" i="11"/>
  <c r="A112" i="11"/>
  <c r="A164" i="11"/>
  <c r="A203" i="11"/>
  <c r="A6" i="11"/>
  <c r="A227" i="11"/>
  <c r="A154" i="11"/>
  <c r="A19" i="17"/>
  <c r="A91" i="11"/>
  <c r="A76" i="11"/>
  <c r="A31" i="11"/>
  <c r="A121" i="11"/>
  <c r="A228" i="11"/>
  <c r="A122" i="11"/>
  <c r="A93" i="11"/>
  <c r="A30" i="11"/>
  <c r="A92" i="11"/>
  <c r="A55" i="11"/>
  <c r="A51" i="11"/>
  <c r="A44" i="11"/>
  <c r="A155" i="11"/>
  <c r="A144" i="11"/>
  <c r="A73" i="11"/>
  <c r="A68" i="11"/>
  <c r="A19" i="11"/>
  <c r="A24" i="16"/>
  <c r="A35" i="11"/>
  <c r="A137" i="11"/>
  <c r="B138" i="11" s="1"/>
  <c r="A48" i="11"/>
  <c r="A95" i="11"/>
  <c r="B96" i="11" s="1"/>
  <c r="B97" i="11" s="1"/>
  <c r="A139" i="11"/>
  <c r="A229" i="11"/>
  <c r="A84" i="11"/>
  <c r="A151" i="11"/>
  <c r="A10" i="15"/>
  <c r="A200" i="11"/>
  <c r="A49" i="11"/>
  <c r="A239" i="11"/>
  <c r="A85" i="11"/>
  <c r="A57" i="11"/>
  <c r="A174" i="11"/>
  <c r="A212" i="11"/>
  <c r="A235" i="11"/>
  <c r="A204" i="11"/>
  <c r="A94" i="11"/>
  <c r="A233" i="11"/>
  <c r="A126" i="11"/>
  <c r="B127" i="11" s="1"/>
  <c r="A149" i="11"/>
  <c r="A43" i="11"/>
  <c r="A209" i="11"/>
  <c r="A17" i="14"/>
  <c r="A177" i="11"/>
  <c r="A21" i="11"/>
  <c r="A64" i="11"/>
  <c r="A20" i="16"/>
  <c r="A23" i="16"/>
  <c r="A39" i="11"/>
  <c r="A198" i="11"/>
  <c r="A231" i="11"/>
  <c r="A120" i="11"/>
  <c r="B121" i="11" s="1"/>
  <c r="A63" i="11"/>
  <c r="A103" i="11"/>
  <c r="B104" i="11" s="1"/>
  <c r="A236" i="11"/>
  <c r="A22" i="17"/>
  <c r="A25" i="16"/>
  <c r="A167" i="11"/>
  <c r="A74" i="11"/>
  <c r="A163" i="11"/>
  <c r="A45" i="11"/>
  <c r="B46" i="11" s="1"/>
  <c r="A178" i="11"/>
  <c r="A100" i="11"/>
  <c r="A52" i="11"/>
  <c r="A111" i="11"/>
  <c r="A232" i="11"/>
  <c r="A195" i="11"/>
  <c r="A14" i="11"/>
  <c r="A50" i="11"/>
  <c r="A27" i="11"/>
  <c r="B28" i="11" s="1"/>
  <c r="A9" i="11"/>
  <c r="A194" i="11"/>
  <c r="A128" i="11"/>
  <c r="A109" i="11"/>
  <c r="A211" i="11"/>
  <c r="A150" i="11"/>
  <c r="A83" i="11"/>
  <c r="A110" i="11"/>
  <c r="A123" i="11"/>
  <c r="A238" i="11"/>
  <c r="A69" i="11"/>
  <c r="A60" i="11"/>
  <c r="A223" i="11"/>
  <c r="A157" i="11"/>
  <c r="A72" i="11"/>
  <c r="A196" i="11"/>
  <c r="A61" i="11"/>
  <c r="A58" i="11"/>
  <c r="A153" i="11"/>
  <c r="A38" i="11"/>
  <c r="A152" i="11"/>
  <c r="A135" i="11"/>
  <c r="A243" i="11"/>
  <c r="A77" i="11"/>
  <c r="A118" i="11"/>
  <c r="B119" i="11" s="1"/>
  <c r="A147" i="11"/>
  <c r="A117" i="11"/>
  <c r="A22" i="16"/>
  <c r="A171" i="11"/>
  <c r="A129" i="11"/>
  <c r="B130" i="11" s="1"/>
  <c r="A156" i="11"/>
  <c r="A65" i="11"/>
  <c r="B66" i="11" s="1"/>
  <c r="A5" i="18"/>
  <c r="A134" i="11"/>
  <c r="B135" i="11" s="1"/>
  <c r="A192" i="11"/>
  <c r="A87" i="11"/>
  <c r="B88" i="11" s="1"/>
  <c r="A20" i="11"/>
  <c r="A193" i="11"/>
  <c r="B194" i="11" s="1"/>
  <c r="A187" i="11"/>
  <c r="A201" i="11"/>
  <c r="A21" i="16"/>
  <c r="A141" i="11"/>
  <c r="A165" i="11"/>
  <c r="B166" i="11" s="1"/>
  <c r="A99" i="11"/>
  <c r="A240" i="11"/>
  <c r="A176" i="11"/>
  <c r="A81" i="11"/>
  <c r="A53" i="11"/>
  <c r="H77" i="51"/>
  <c r="A163" i="15"/>
  <c r="A312" i="14"/>
  <c r="A315" i="14"/>
  <c r="A98" i="18"/>
  <c r="A314" i="14"/>
  <c r="A313" i="14"/>
  <c r="A311" i="14"/>
  <c r="A162" i="15"/>
  <c r="A319" i="14"/>
  <c r="A318" i="14"/>
  <c r="A222" i="16"/>
  <c r="A317" i="14"/>
  <c r="A193" i="17"/>
  <c r="A316" i="14"/>
  <c r="A174" i="17"/>
  <c r="A153" i="15"/>
  <c r="A207" i="16"/>
  <c r="A286" i="14"/>
  <c r="A201" i="16"/>
  <c r="A281" i="14"/>
  <c r="A284" i="14"/>
  <c r="A172" i="17"/>
  <c r="A169" i="17"/>
  <c r="A206" i="16"/>
  <c r="A92" i="18"/>
  <c r="A171" i="17"/>
  <c r="A152" i="15"/>
  <c r="A205" i="16"/>
  <c r="A285" i="14"/>
  <c r="A282" i="14"/>
  <c r="A203" i="16"/>
  <c r="A173" i="17"/>
  <c r="A91" i="18"/>
  <c r="A170" i="17"/>
  <c r="A283" i="14"/>
  <c r="A202" i="16"/>
  <c r="A204" i="16"/>
  <c r="A287" i="14"/>
  <c r="A537" i="15"/>
  <c r="A540" i="15"/>
  <c r="A1072" i="14"/>
  <c r="A539" i="15"/>
  <c r="A738" i="16"/>
  <c r="A1073" i="14"/>
  <c r="A1077" i="14"/>
  <c r="A739" i="16"/>
  <c r="A1074" i="14"/>
  <c r="A1075" i="14"/>
  <c r="A541" i="15"/>
  <c r="A704" i="17"/>
  <c r="A538" i="15"/>
  <c r="A536" i="15"/>
  <c r="A542" i="15"/>
  <c r="A543" i="15"/>
  <c r="A1076" i="14"/>
  <c r="A706" i="17"/>
  <c r="A705" i="17"/>
  <c r="A1022" i="14"/>
  <c r="A1020" i="14"/>
  <c r="A510" i="15"/>
  <c r="A706" i="16"/>
  <c r="A1021" i="14"/>
  <c r="A713" i="16"/>
  <c r="A1019" i="14"/>
  <c r="A708" i="16"/>
  <c r="A711" i="16"/>
  <c r="A670" i="17"/>
  <c r="A712" i="16"/>
  <c r="A707" i="16"/>
  <c r="A511" i="15"/>
  <c r="A1023" i="14"/>
  <c r="A705" i="16"/>
  <c r="A710" i="16"/>
  <c r="A669" i="17"/>
  <c r="A668" i="17"/>
  <c r="A709" i="16"/>
  <c r="A336" i="17"/>
  <c r="A377" i="16"/>
  <c r="A332" i="17"/>
  <c r="A536" i="14"/>
  <c r="A378" i="16"/>
  <c r="A281" i="15"/>
  <c r="A532" i="14"/>
  <c r="A337" i="17"/>
  <c r="A334" i="17"/>
  <c r="A333" i="17"/>
  <c r="A282" i="15"/>
  <c r="A534" i="14"/>
  <c r="A379" i="16"/>
  <c r="A335" i="17"/>
  <c r="A533" i="14"/>
  <c r="A535" i="14"/>
  <c r="A380" i="16"/>
  <c r="A461" i="15"/>
  <c r="A596" i="17"/>
  <c r="A904" i="14"/>
  <c r="A620" i="16"/>
  <c r="A595" i="17"/>
  <c r="A462" i="15"/>
  <c r="A463" i="15"/>
  <c r="A906" i="14"/>
  <c r="A903" i="14"/>
  <c r="A458" i="15"/>
  <c r="A594" i="17"/>
  <c r="A905" i="14"/>
  <c r="A902" i="14"/>
  <c r="A459" i="15"/>
  <c r="A460" i="15"/>
  <c r="A62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61" i="15"/>
  <c r="A974" i="14"/>
  <c r="A662" i="16"/>
  <c r="A975" i="14"/>
  <c r="A664" i="16"/>
  <c r="A976" i="14"/>
  <c r="A642" i="17"/>
  <c r="A640" i="17"/>
  <c r="A495" i="15"/>
  <c r="A977" i="14"/>
  <c r="A643" i="17"/>
  <c r="A663" i="16"/>
  <c r="A496" i="15"/>
  <c r="A979" i="14"/>
  <c r="A661" i="16"/>
  <c r="A641" i="17"/>
  <c r="A660" i="16"/>
  <c r="A978" i="14"/>
  <c r="A441" i="17"/>
  <c r="A357" i="15"/>
  <c r="A695" i="14"/>
  <c r="A358" i="15"/>
  <c r="A380" i="15"/>
  <c r="A479" i="17"/>
  <c r="A484" i="16"/>
  <c r="A692" i="14"/>
  <c r="A360" i="15"/>
  <c r="A439" i="17"/>
  <c r="A696" i="14"/>
  <c r="A693" i="14"/>
  <c r="A440" i="17"/>
  <c r="A359" i="15"/>
  <c r="A485" i="16"/>
  <c r="A691" i="14"/>
  <c r="A694" i="14"/>
  <c r="A751" i="14"/>
  <c r="A477" i="17"/>
  <c r="A522" i="16"/>
  <c r="A519" i="16"/>
  <c r="A523" i="16"/>
  <c r="A747" i="14"/>
  <c r="A517" i="16"/>
  <c r="A752" i="14"/>
  <c r="A478" i="17"/>
  <c r="A750" i="14"/>
  <c r="A520" i="16"/>
  <c r="A379" i="15"/>
  <c r="A748" i="14"/>
  <c r="A143" i="18"/>
  <c r="A749" i="14"/>
  <c r="A518" i="16"/>
  <c r="A521" i="16"/>
  <c r="A365" i="16"/>
  <c r="A320" i="17"/>
  <c r="A321" i="17"/>
  <c r="A514" i="14"/>
  <c r="A820" i="16"/>
  <c r="A366" i="16"/>
  <c r="A516" i="14"/>
  <c r="A821" i="16"/>
  <c r="A318" i="17"/>
  <c r="A275" i="15"/>
  <c r="A367" i="16"/>
  <c r="A517" i="14"/>
  <c r="A519" i="14"/>
  <c r="A368" i="16"/>
  <c r="A319" i="17"/>
  <c r="A584" i="15"/>
  <c r="A276" i="15"/>
  <c r="B277" i="15" s="1"/>
  <c r="B278" i="15" s="1"/>
  <c r="A515" i="14"/>
  <c r="A518" i="14"/>
  <c r="A520" i="14"/>
  <c r="B521" i="14" s="1"/>
  <c r="B522" i="14" s="1"/>
  <c r="B523" i="14" s="1"/>
  <c r="B524" i="14" s="1"/>
  <c r="A494" i="14"/>
  <c r="A495" i="14"/>
  <c r="A306" i="17"/>
  <c r="B307" i="17" s="1"/>
  <c r="A258" i="15"/>
  <c r="A345" i="16"/>
  <c r="A304" i="17"/>
  <c r="A344" i="16"/>
  <c r="A493" i="14"/>
  <c r="A263" i="15"/>
  <c r="B264" i="15" s="1"/>
  <c r="A349" i="16"/>
  <c r="B350" i="16" s="1"/>
  <c r="B351" i="16" s="1"/>
  <c r="B352" i="16" s="1"/>
  <c r="A150" i="18"/>
  <c r="A152" i="18"/>
  <c r="B153" i="18" s="1"/>
  <c r="B154" i="18" s="1"/>
  <c r="B155" i="18" s="1"/>
  <c r="A262" i="15"/>
  <c r="A496" i="14"/>
  <c r="A492" i="14"/>
  <c r="A259" i="15"/>
  <c r="A348" i="16"/>
  <c r="A497" i="14"/>
  <c r="B498" i="14" s="1"/>
  <c r="B499" i="14" s="1"/>
  <c r="B500" i="14" s="1"/>
  <c r="B501" i="14" s="1"/>
  <c r="B502" i="14" s="1"/>
  <c r="B503" i="14" s="1"/>
  <c r="A151" i="18"/>
  <c r="A261" i="15"/>
  <c r="A347" i="16"/>
  <c r="A305" i="17"/>
  <c r="A346" i="16"/>
  <c r="A260" i="15"/>
  <c r="A1184" i="14"/>
  <c r="A770" i="17"/>
  <c r="A841" i="14"/>
  <c r="A578" i="16"/>
  <c r="A1180" i="14"/>
  <c r="A768" i="17"/>
  <c r="A819" i="16"/>
  <c r="A817" i="16"/>
  <c r="A586" i="15"/>
  <c r="A822" i="16"/>
  <c r="A1183" i="14"/>
  <c r="A1181" i="14"/>
  <c r="A769" i="17"/>
  <c r="A823" i="16"/>
  <c r="A585" i="15"/>
  <c r="A1182" i="14"/>
  <c r="A1179" i="14"/>
  <c r="A818" i="16"/>
  <c r="A424" i="15"/>
  <c r="A538" i="17"/>
  <c r="A842" i="14"/>
  <c r="A425" i="15"/>
  <c r="A579" i="16"/>
  <c r="A582" i="16"/>
  <c r="A843" i="14"/>
  <c r="A844" i="14"/>
  <c r="A580" i="16"/>
  <c r="A577" i="16"/>
  <c r="A845" i="14"/>
  <c r="A536" i="17"/>
  <c r="A537" i="17"/>
  <c r="A583" i="16"/>
  <c r="A581" i="16"/>
  <c r="A75" i="15"/>
  <c r="B76" i="15" s="1"/>
  <c r="B77" i="15" s="1"/>
  <c r="A36" i="18"/>
  <c r="B37" i="18" s="1"/>
  <c r="B38" i="18" s="1"/>
  <c r="A239" i="16"/>
  <c r="A107" i="18"/>
  <c r="A242" i="16"/>
  <c r="A337" i="14"/>
  <c r="A243" i="16"/>
  <c r="A342" i="14"/>
  <c r="A130" i="14"/>
  <c r="A102" i="18"/>
  <c r="A208" i="17"/>
  <c r="A210" i="17"/>
  <c r="A240" i="16"/>
  <c r="A170" i="15"/>
  <c r="A338" i="14"/>
  <c r="A340" i="14"/>
  <c r="A206" i="17"/>
  <c r="A209" i="17"/>
  <c r="A211" i="17"/>
  <c r="A241" i="16"/>
  <c r="A171" i="15"/>
  <c r="A339" i="14"/>
  <c r="A341" i="14"/>
  <c r="A207" i="17"/>
  <c r="A352" i="14"/>
  <c r="A90" i="16"/>
  <c r="A173" i="15"/>
  <c r="A134" i="14"/>
  <c r="B135" i="14" s="1"/>
  <c r="B136" i="14" s="1"/>
  <c r="B137" i="14" s="1"/>
  <c r="A219" i="17"/>
  <c r="A131" i="14"/>
  <c r="A348" i="14"/>
  <c r="B3" i="15"/>
  <c r="A353" i="14"/>
  <c r="A249" i="16"/>
  <c r="A216" i="17"/>
  <c r="A91" i="16"/>
  <c r="A92" i="16"/>
  <c r="B93" i="16" s="1"/>
  <c r="A80" i="17"/>
  <c r="A217" i="17"/>
  <c r="A250" i="16"/>
  <c r="A251" i="16"/>
  <c r="A81" i="17"/>
  <c r="B82" i="17" s="1"/>
  <c r="A354" i="14"/>
  <c r="A74" i="15"/>
  <c r="A253" i="16"/>
  <c r="A349" i="14"/>
  <c r="A350" i="14"/>
  <c r="A35" i="18"/>
  <c r="A351" i="14"/>
  <c r="A218" i="17"/>
  <c r="A132" i="14"/>
  <c r="A88" i="16"/>
  <c r="A133" i="14"/>
  <c r="A87" i="16"/>
  <c r="A89" i="16"/>
  <c r="A252" i="16"/>
  <c r="A105" i="18"/>
  <c r="A106" i="18"/>
  <c r="A491" i="15"/>
  <c r="A110" i="14"/>
  <c r="A653" i="16"/>
  <c r="A39" i="14"/>
  <c r="A106" i="14"/>
  <c r="A654" i="16"/>
  <c r="A633" i="17"/>
  <c r="A965" i="14"/>
  <c r="A634" i="17"/>
  <c r="A635" i="17"/>
  <c r="A966" i="14"/>
  <c r="A962" i="14"/>
  <c r="A632" i="17"/>
  <c r="A652" i="16"/>
  <c r="A967" i="14"/>
  <c r="A968" i="14"/>
  <c r="A964" i="14"/>
  <c r="A963" i="14"/>
  <c r="A492" i="15"/>
  <c r="A74" i="17"/>
  <c r="B75" i="17" s="1"/>
  <c r="A77" i="16"/>
  <c r="B78" i="16" s="1"/>
  <c r="A68" i="15"/>
  <c r="B69" i="15" s="1"/>
  <c r="A104" i="14"/>
  <c r="A109" i="14"/>
  <c r="A42" i="14"/>
  <c r="A105" i="14"/>
  <c r="A34" i="15"/>
  <c r="A134" i="16"/>
  <c r="A28" i="18"/>
  <c r="A29" i="18"/>
  <c r="A107" i="14"/>
  <c r="A111" i="14"/>
  <c r="B112" i="14" s="1"/>
  <c r="B113" i="14" s="1"/>
  <c r="B114" i="14" s="1"/>
  <c r="B115" i="14" s="1"/>
  <c r="B116" i="14" s="1"/>
  <c r="B117" i="14" s="1"/>
  <c r="B118" i="14" s="1"/>
  <c r="A128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98" i="16"/>
  <c r="A508" i="15"/>
  <c r="A793" i="16"/>
  <c r="A704" i="16"/>
  <c r="A1017" i="14"/>
  <c r="A666" i="17"/>
  <c r="A701" i="16"/>
  <c r="A1151" i="14"/>
  <c r="A696" i="16"/>
  <c r="A699" i="16"/>
  <c r="A702" i="16"/>
  <c r="A667" i="17"/>
  <c r="A1015" i="14"/>
  <c r="A1018" i="14"/>
  <c r="A509" i="15"/>
  <c r="A697" i="16"/>
  <c r="A700" i="16"/>
  <c r="A665" i="17"/>
  <c r="A1014" i="14"/>
  <c r="A1016" i="14"/>
  <c r="A703" i="16"/>
  <c r="A755" i="17"/>
  <c r="A1149" i="14"/>
  <c r="A753" i="17"/>
  <c r="A792" i="16"/>
  <c r="A1152" i="14"/>
  <c r="A1150" i="14"/>
  <c r="A1153" i="14"/>
  <c r="A754" i="17"/>
  <c r="A1154" i="14"/>
  <c r="A757" i="17"/>
  <c r="A255" i="15"/>
  <c r="A756" i="17"/>
  <c r="A752" i="17"/>
  <c r="A575" i="15"/>
  <c r="A791" i="16"/>
  <c r="A574" i="15"/>
  <c r="A250" i="15"/>
  <c r="A253" i="15"/>
  <c r="A487" i="14"/>
  <c r="A490" i="14"/>
  <c r="A148" i="18"/>
  <c r="A303" i="17"/>
  <c r="A342" i="16"/>
  <c r="A251" i="15"/>
  <c r="A149" i="18"/>
  <c r="A257" i="15"/>
  <c r="A488" i="14"/>
  <c r="A491" i="14"/>
  <c r="A254" i="15"/>
  <c r="A340" i="16"/>
  <c r="A343" i="16"/>
  <c r="B344" i="16" s="1"/>
  <c r="A147" i="18"/>
  <c r="A301" i="17"/>
  <c r="A486" i="14"/>
  <c r="A302" i="17"/>
  <c r="A252" i="15"/>
  <c r="A489" i="14"/>
  <c r="A256" i="15"/>
  <c r="A341" i="16"/>
  <c r="A590" i="14"/>
  <c r="A369" i="17"/>
  <c r="A587" i="14"/>
  <c r="A422" i="16"/>
  <c r="A419" i="16"/>
  <c r="A585" i="14"/>
  <c r="A588" i="14"/>
  <c r="A591" i="14"/>
  <c r="B592" i="14" s="1"/>
  <c r="A301" i="15"/>
  <c r="A370" i="17"/>
  <c r="A420" i="16"/>
  <c r="A423" i="16"/>
  <c r="B424" i="16" s="1"/>
  <c r="A302" i="15"/>
  <c r="B303" i="15" s="1"/>
  <c r="A586" i="14"/>
  <c r="A589" i="14"/>
  <c r="A592" i="16"/>
  <c r="A584" i="14"/>
  <c r="A371" i="17"/>
  <c r="B372" i="17" s="1"/>
  <c r="A421" i="16"/>
  <c r="A300" i="15"/>
  <c r="A362" i="17"/>
  <c r="A413" i="16"/>
  <c r="A576" i="14"/>
  <c r="A296" i="15"/>
  <c r="A575" i="14"/>
  <c r="A360" i="17"/>
  <c r="A363" i="17"/>
  <c r="A573" i="14"/>
  <c r="A577" i="14"/>
  <c r="A364" i="17"/>
  <c r="A411" i="16"/>
  <c r="A295" i="15"/>
  <c r="A361" i="17"/>
  <c r="A365" i="17"/>
  <c r="A552" i="17"/>
  <c r="A359" i="17"/>
  <c r="A574" i="14"/>
  <c r="A412" i="16"/>
  <c r="A553" i="17"/>
  <c r="A431" i="15"/>
  <c r="A778" i="16"/>
  <c r="A858" i="14"/>
  <c r="A781" i="16"/>
  <c r="A860" i="14"/>
  <c r="A591" i="16"/>
  <c r="A556" i="17"/>
  <c r="A568" i="15"/>
  <c r="A551" i="17"/>
  <c r="A780" i="16"/>
  <c r="A430" i="15"/>
  <c r="A857" i="14"/>
  <c r="A557" i="17"/>
  <c r="A856" i="14"/>
  <c r="A1143" i="14"/>
  <c r="A554" i="17"/>
  <c r="A859" i="14"/>
  <c r="A555" i="17"/>
  <c r="A558" i="17"/>
  <c r="A776" i="16"/>
  <c r="A1133" i="14"/>
  <c r="A1134" i="14"/>
  <c r="A741" i="17"/>
  <c r="A777" i="16"/>
  <c r="A779" i="16"/>
  <c r="A569" i="15"/>
  <c r="A1135" i="14"/>
  <c r="A1131" i="14"/>
  <c r="A1144" i="14"/>
  <c r="A50" i="15"/>
  <c r="A742" i="17"/>
  <c r="A30" i="15"/>
  <c r="A775" i="16"/>
  <c r="A1130" i="14"/>
  <c r="A1132" i="14"/>
  <c r="A740" i="17"/>
  <c r="A83" i="15"/>
  <c r="B84" i="15" s="1"/>
  <c r="B85" i="15" s="1"/>
  <c r="A625" i="16"/>
  <c r="A50" i="18"/>
  <c r="B51" i="18" s="1"/>
  <c r="A472" i="15"/>
  <c r="A157" i="14"/>
  <c r="A102" i="16"/>
  <c r="A89" i="17"/>
  <c r="A922" i="14"/>
  <c r="A471" i="15"/>
  <c r="A103" i="16"/>
  <c r="A925" i="14"/>
  <c r="A159" i="14"/>
  <c r="A926" i="14"/>
  <c r="A162" i="14"/>
  <c r="A473" i="15"/>
  <c r="A474" i="15"/>
  <c r="A927" i="14"/>
  <c r="B928" i="14" s="1"/>
  <c r="A160" i="14"/>
  <c r="A90" i="17"/>
  <c r="B91" i="17" s="1"/>
  <c r="A158" i="14"/>
  <c r="A163" i="14"/>
  <c r="A104" i="16"/>
  <c r="A601" i="17"/>
  <c r="A602" i="17"/>
  <c r="A105" i="16"/>
  <c r="A626" i="16"/>
  <c r="B627" i="16" s="1"/>
  <c r="B628" i="16" s="1"/>
  <c r="A106" i="16"/>
  <c r="A82" i="15"/>
  <c r="A48" i="18"/>
  <c r="A49" i="18"/>
  <c r="A475" i="15"/>
  <c r="B476" i="15" s="1"/>
  <c r="A921" i="14"/>
  <c r="A161" i="14"/>
  <c r="A923" i="14"/>
  <c r="A924" i="14"/>
  <c r="A603" i="17"/>
  <c r="A164" i="14"/>
  <c r="B165" i="14" s="1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B68" i="15" s="1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B74" i="15" s="1"/>
  <c r="A24" i="15"/>
  <c r="A88" i="15"/>
  <c r="A104" i="17"/>
  <c r="A103" i="17"/>
  <c r="A102" i="17"/>
  <c r="A101" i="17"/>
  <c r="A107" i="17"/>
  <c r="A106" i="17"/>
  <c r="A105" i="17"/>
  <c r="A102" i="15"/>
  <c r="A117" i="15"/>
  <c r="A129" i="15"/>
  <c r="A148" i="15"/>
  <c r="A168" i="15"/>
  <c r="A183" i="15"/>
  <c r="A197" i="15"/>
  <c r="A209" i="15"/>
  <c r="A221" i="15"/>
  <c r="A245" i="15"/>
  <c r="A284" i="15"/>
  <c r="A313" i="15"/>
  <c r="A325" i="15"/>
  <c r="A337" i="15"/>
  <c r="A355" i="15"/>
  <c r="A372" i="15"/>
  <c r="A386" i="15"/>
  <c r="A398" i="15"/>
  <c r="A410" i="15"/>
  <c r="A422" i="15"/>
  <c r="A438" i="15"/>
  <c r="A450" i="15"/>
  <c r="B451" i="15" s="1"/>
  <c r="A470" i="15"/>
  <c r="A500" i="15"/>
  <c r="A518" i="15"/>
  <c r="A530" i="15"/>
  <c r="A103" i="15"/>
  <c r="A118" i="15"/>
  <c r="A130" i="15"/>
  <c r="A149" i="15"/>
  <c r="A169" i="15"/>
  <c r="B170" i="15" s="1"/>
  <c r="A184" i="15"/>
  <c r="A198" i="15"/>
  <c r="A210" i="15"/>
  <c r="A222" i="15"/>
  <c r="A246" i="15"/>
  <c r="A285" i="15"/>
  <c r="A314" i="15"/>
  <c r="A326" i="15"/>
  <c r="A338" i="15"/>
  <c r="A356" i="15"/>
  <c r="B357" i="15" s="1"/>
  <c r="A373" i="15"/>
  <c r="A387" i="15"/>
  <c r="A399" i="15"/>
  <c r="A411" i="15"/>
  <c r="A423" i="15"/>
  <c r="B424" i="15" s="1"/>
  <c r="A439" i="15"/>
  <c r="A453" i="15"/>
  <c r="A480" i="15"/>
  <c r="A501" i="15"/>
  <c r="A519" i="15"/>
  <c r="A531" i="15"/>
  <c r="A581" i="15"/>
  <c r="A598" i="15"/>
  <c r="A182" i="15"/>
  <c r="A517" i="15"/>
  <c r="A104" i="15"/>
  <c r="A119" i="15"/>
  <c r="A131" i="15"/>
  <c r="A150" i="15"/>
  <c r="A172" i="15"/>
  <c r="B173" i="15" s="1"/>
  <c r="A185" i="15"/>
  <c r="A199" i="15"/>
  <c r="A211" i="15"/>
  <c r="A223" i="15"/>
  <c r="A247" i="15"/>
  <c r="A286" i="15"/>
  <c r="A315" i="15"/>
  <c r="A327" i="15"/>
  <c r="A339" i="15"/>
  <c r="A362" i="15"/>
  <c r="A374" i="15"/>
  <c r="A388" i="15"/>
  <c r="A400" i="15"/>
  <c r="A412" i="15"/>
  <c r="A426" i="15"/>
  <c r="A440" i="15"/>
  <c r="A454" i="15"/>
  <c r="A481" i="15"/>
  <c r="B482" i="15" s="1"/>
  <c r="B483" i="15" s="1"/>
  <c r="B484" i="15" s="1"/>
  <c r="A504" i="15"/>
  <c r="A520" i="15"/>
  <c r="A532" i="15"/>
  <c r="A582" i="15"/>
  <c r="A599" i="15"/>
  <c r="A397" i="15"/>
  <c r="A105" i="15"/>
  <c r="A120" i="15"/>
  <c r="A132" i="15"/>
  <c r="A151" i="15"/>
  <c r="B152" i="15" s="1"/>
  <c r="B153" i="15" s="1"/>
  <c r="A174" i="15"/>
  <c r="A186" i="15"/>
  <c r="A200" i="15"/>
  <c r="A212" i="15"/>
  <c r="A236" i="15"/>
  <c r="A248" i="15"/>
  <c r="A287" i="15"/>
  <c r="A316" i="15"/>
  <c r="A328" i="15"/>
  <c r="A340" i="15"/>
  <c r="A363" i="15"/>
  <c r="A375" i="15"/>
  <c r="A389" i="15"/>
  <c r="A401" i="15"/>
  <c r="A413" i="15"/>
  <c r="A427" i="15"/>
  <c r="A441" i="15"/>
  <c r="A455" i="15"/>
  <c r="A485" i="15"/>
  <c r="A505" i="15"/>
  <c r="A521" i="15"/>
  <c r="A533" i="15"/>
  <c r="A583" i="15"/>
  <c r="A600" i="15"/>
  <c r="A385" i="15"/>
  <c r="A106" i="15"/>
  <c r="A121" i="15"/>
  <c r="A133" i="15"/>
  <c r="A154" i="15"/>
  <c r="A175" i="15"/>
  <c r="A187" i="15"/>
  <c r="A201" i="15"/>
  <c r="A213" i="15"/>
  <c r="A237" i="15"/>
  <c r="A249" i="15"/>
  <c r="A288" i="15"/>
  <c r="B289" i="15" s="1"/>
  <c r="B290" i="15" s="1"/>
  <c r="A317" i="15"/>
  <c r="A329" i="15"/>
  <c r="A341" i="15"/>
  <c r="A364" i="15"/>
  <c r="A376" i="15"/>
  <c r="A390" i="15"/>
  <c r="A402" i="15"/>
  <c r="A414" i="15"/>
  <c r="A428" i="15"/>
  <c r="A442" i="15"/>
  <c r="A456" i="15"/>
  <c r="A486" i="15"/>
  <c r="B487" i="15" s="1"/>
  <c r="A506" i="15"/>
  <c r="A522" i="15"/>
  <c r="A534" i="15"/>
  <c r="A587" i="15"/>
  <c r="A601" i="15"/>
  <c r="A588" i="15"/>
  <c r="A165" i="15"/>
  <c r="B166" i="15" s="1"/>
  <c r="B167" i="15" s="1"/>
  <c r="A299" i="15"/>
  <c r="B300" i="15" s="1"/>
  <c r="B301" i="15" s="1"/>
  <c r="A409" i="15"/>
  <c r="A449" i="15"/>
  <c r="A529" i="15"/>
  <c r="A580" i="15"/>
  <c r="A107" i="15"/>
  <c r="B108" i="15" s="1"/>
  <c r="B109" i="15" s="1"/>
  <c r="A122" i="15"/>
  <c r="A134" i="15"/>
  <c r="A155" i="15"/>
  <c r="A176" i="15"/>
  <c r="A188" i="15"/>
  <c r="A202" i="15"/>
  <c r="A214" i="15"/>
  <c r="A238" i="15"/>
  <c r="A271" i="15"/>
  <c r="A291" i="15"/>
  <c r="A318" i="15"/>
  <c r="A330" i="15"/>
  <c r="A342" i="15"/>
  <c r="A365" i="15"/>
  <c r="A377" i="15"/>
  <c r="A391" i="15"/>
  <c r="A403" i="15"/>
  <c r="A415" i="15"/>
  <c r="A429" i="15"/>
  <c r="A443" i="15"/>
  <c r="A457" i="15"/>
  <c r="B458" i="15" s="1"/>
  <c r="A489" i="15"/>
  <c r="A507" i="15"/>
  <c r="A523" i="15"/>
  <c r="A535" i="15"/>
  <c r="A602" i="15"/>
  <c r="A220" i="15"/>
  <c r="B221" i="15" s="1"/>
  <c r="A421" i="15"/>
  <c r="A577" i="15"/>
  <c r="A110" i="15"/>
  <c r="A123" i="15"/>
  <c r="A135" i="15"/>
  <c r="A156" i="15"/>
  <c r="A177" i="15"/>
  <c r="A189" i="15"/>
  <c r="A203" i="15"/>
  <c r="A215" i="15"/>
  <c r="A239" i="15"/>
  <c r="A272" i="15"/>
  <c r="A292" i="15"/>
  <c r="A319" i="15"/>
  <c r="A331" i="15"/>
  <c r="A343" i="15"/>
  <c r="A366" i="15"/>
  <c r="A378" i="15"/>
  <c r="B379" i="15" s="1"/>
  <c r="A392" i="15"/>
  <c r="A404" i="15"/>
  <c r="A416" i="15"/>
  <c r="A432" i="15"/>
  <c r="A444" i="15"/>
  <c r="A464" i="15"/>
  <c r="A490" i="15"/>
  <c r="B491" i="15" s="1"/>
  <c r="A512" i="15"/>
  <c r="A524" i="15"/>
  <c r="A566" i="15"/>
  <c r="A589" i="15"/>
  <c r="A603" i="15"/>
  <c r="A208" i="15"/>
  <c r="A469" i="15"/>
  <c r="A111" i="15"/>
  <c r="A124" i="15"/>
  <c r="A136" i="15"/>
  <c r="A157" i="15"/>
  <c r="B158" i="15" s="1"/>
  <c r="B159" i="15" s="1"/>
  <c r="A178" i="15"/>
  <c r="A190" i="15"/>
  <c r="B191" i="15" s="1"/>
  <c r="A204" i="15"/>
  <c r="A216" i="15"/>
  <c r="A240" i="15"/>
  <c r="A273" i="15"/>
  <c r="A293" i="15"/>
  <c r="A320" i="15"/>
  <c r="B321" i="15" s="1"/>
  <c r="A332" i="15"/>
  <c r="A344" i="15"/>
  <c r="A367" i="15"/>
  <c r="A381" i="15"/>
  <c r="A393" i="15"/>
  <c r="A405" i="15"/>
  <c r="A417" i="15"/>
  <c r="A433" i="15"/>
  <c r="A445" i="15"/>
  <c r="A465" i="15"/>
  <c r="A493" i="15"/>
  <c r="A513" i="15"/>
  <c r="A525" i="15"/>
  <c r="A567" i="15"/>
  <c r="A590" i="15"/>
  <c r="A604" i="15"/>
  <c r="A324" i="15"/>
  <c r="A98" i="15"/>
  <c r="A112" i="15"/>
  <c r="A125" i="15"/>
  <c r="A137" i="15"/>
  <c r="A160" i="15"/>
  <c r="A179" i="15"/>
  <c r="A193" i="15"/>
  <c r="A205" i="15"/>
  <c r="A217" i="15"/>
  <c r="A241" i="15"/>
  <c r="A274" i="15"/>
  <c r="A294" i="15"/>
  <c r="B295" i="15" s="1"/>
  <c r="A321" i="15"/>
  <c r="A333" i="15"/>
  <c r="A345" i="15"/>
  <c r="B346" i="15" s="1"/>
  <c r="B347" i="15" s="1"/>
  <c r="B348" i="15" s="1"/>
  <c r="B349" i="15" s="1"/>
  <c r="A368" i="15"/>
  <c r="A382" i="15"/>
  <c r="A394" i="15"/>
  <c r="A406" i="15"/>
  <c r="A418" i="15"/>
  <c r="A434" i="15"/>
  <c r="A446" i="15"/>
  <c r="A466" i="15"/>
  <c r="A494" i="15"/>
  <c r="B495" i="15" s="1"/>
  <c r="A514" i="15"/>
  <c r="A526" i="15"/>
  <c r="A572" i="15"/>
  <c r="A593" i="15"/>
  <c r="A354" i="15"/>
  <c r="A99" i="15"/>
  <c r="A113" i="15"/>
  <c r="B114" i="15" s="1"/>
  <c r="A126" i="15"/>
  <c r="A138" i="15"/>
  <c r="B139" i="15" s="1"/>
  <c r="A161" i="15"/>
  <c r="B162" i="15" s="1"/>
  <c r="B163" i="15" s="1"/>
  <c r="A180" i="15"/>
  <c r="A194" i="15"/>
  <c r="A206" i="15"/>
  <c r="A218" i="15"/>
  <c r="A242" i="15"/>
  <c r="A279" i="15"/>
  <c r="A297" i="15"/>
  <c r="A322" i="15"/>
  <c r="A334" i="15"/>
  <c r="A352" i="15"/>
  <c r="A369" i="15"/>
  <c r="A383" i="15"/>
  <c r="A395" i="15"/>
  <c r="A407" i="15"/>
  <c r="A419" i="15"/>
  <c r="A435" i="15"/>
  <c r="A447" i="15"/>
  <c r="A467" i="15"/>
  <c r="A497" i="15"/>
  <c r="A515" i="15"/>
  <c r="A527" i="15"/>
  <c r="A573" i="15"/>
  <c r="A594" i="15"/>
  <c r="A336" i="15"/>
  <c r="A100" i="15"/>
  <c r="A115" i="15"/>
  <c r="A127" i="15"/>
  <c r="A146" i="15"/>
  <c r="A164" i="15"/>
  <c r="A181" i="15"/>
  <c r="A195" i="15"/>
  <c r="A207" i="15"/>
  <c r="B208" i="15" s="1"/>
  <c r="B209" i="15" s="1"/>
  <c r="B210" i="15" s="1"/>
  <c r="B211" i="15" s="1"/>
  <c r="A219" i="15"/>
  <c r="A243" i="15"/>
  <c r="A280" i="15"/>
  <c r="B281" i="15" s="1"/>
  <c r="B282" i="15" s="1"/>
  <c r="A298" i="15"/>
  <c r="A323" i="15"/>
  <c r="A335" i="15"/>
  <c r="A353" i="15"/>
  <c r="A370" i="15"/>
  <c r="A384" i="15"/>
  <c r="A396" i="15"/>
  <c r="A408" i="15"/>
  <c r="A420" i="15"/>
  <c r="A436" i="15"/>
  <c r="A448" i="15"/>
  <c r="B449" i="15" s="1"/>
  <c r="A468" i="15"/>
  <c r="A498" i="15"/>
  <c r="A516" i="15"/>
  <c r="A528" i="15"/>
  <c r="A576" i="15"/>
  <c r="A595" i="15"/>
  <c r="A101" i="15"/>
  <c r="A116" i="15"/>
  <c r="B117" i="15" s="1"/>
  <c r="A128" i="15"/>
  <c r="A147" i="15"/>
  <c r="B148" i="15" s="1"/>
  <c r="A196" i="15"/>
  <c r="A244" i="15"/>
  <c r="A283" i="15"/>
  <c r="A371" i="15"/>
  <c r="A437" i="15"/>
  <c r="A499" i="15"/>
  <c r="B500" i="15" s="1"/>
  <c r="A596" i="15"/>
  <c r="A597" i="15"/>
  <c r="A187" i="14"/>
  <c r="A120" i="16"/>
  <c r="A186" i="14"/>
  <c r="A119" i="16"/>
  <c r="A59" i="18"/>
  <c r="A185" i="14"/>
  <c r="A118" i="16"/>
  <c r="A58" i="18"/>
  <c r="A184" i="14"/>
  <c r="A183" i="14"/>
  <c r="A121" i="16"/>
  <c r="A1209" i="14"/>
  <c r="A831" i="16"/>
  <c r="A1226" i="14"/>
  <c r="A848" i="16"/>
  <c r="A1190" i="14"/>
  <c r="A786" i="17"/>
  <c r="A776" i="17"/>
  <c r="A838" i="16"/>
  <c r="A793" i="17"/>
  <c r="A781" i="17"/>
  <c r="A846" i="16"/>
  <c r="A790" i="17"/>
  <c r="A788" i="17"/>
  <c r="A789" i="17"/>
  <c r="A1215" i="14"/>
  <c r="A1206" i="14"/>
  <c r="A1223" i="14"/>
  <c r="A1203" i="14"/>
  <c r="A1216" i="14"/>
  <c r="A1210" i="14"/>
  <c r="A1225" i="14"/>
  <c r="A826" i="16"/>
  <c r="A827" i="16"/>
  <c r="A1211" i="14"/>
  <c r="A844" i="16"/>
  <c r="A1193" i="14"/>
  <c r="A1204" i="14"/>
  <c r="A1218" i="14"/>
  <c r="A843" i="16"/>
  <c r="A849" i="16"/>
  <c r="A1212" i="14"/>
  <c r="A840" i="16"/>
  <c r="A779" i="17"/>
  <c r="A1194" i="14"/>
  <c r="A794" i="17"/>
  <c r="A1208" i="14"/>
  <c r="A1220" i="14"/>
  <c r="A1228" i="14"/>
  <c r="A1213" i="14"/>
  <c r="A841" i="16"/>
  <c r="A847" i="16"/>
  <c r="A1201" i="14"/>
  <c r="A1224" i="14"/>
  <c r="A775" i="17"/>
  <c r="A787" i="17"/>
  <c r="A1227" i="14"/>
  <c r="A784" i="17"/>
  <c r="A842" i="16"/>
  <c r="A796" i="17"/>
  <c r="A1202" i="14"/>
  <c r="A783" i="17"/>
  <c r="A782" i="17"/>
  <c r="A791" i="17"/>
  <c r="A1222" i="14"/>
  <c r="A1221" i="14"/>
  <c r="A828" i="16"/>
  <c r="A839" i="16"/>
  <c r="A1219" i="14"/>
  <c r="A1191" i="14"/>
  <c r="A1229" i="14"/>
  <c r="A792" i="17"/>
  <c r="A845" i="16"/>
  <c r="A829" i="16"/>
  <c r="A1205" i="14"/>
  <c r="A1217" i="14"/>
  <c r="A1214" i="14"/>
  <c r="A780" i="17"/>
  <c r="A830" i="16"/>
  <c r="A795" i="17"/>
  <c r="A1207" i="14"/>
  <c r="A1192" i="14"/>
  <c r="A785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8" i="17"/>
  <c r="A53" i="17"/>
  <c r="A266" i="17"/>
  <c r="A306" i="16"/>
  <c r="A55" i="16"/>
  <c r="A59" i="14"/>
  <c r="A55" i="17"/>
  <c r="A436" i="14"/>
  <c r="A131" i="18"/>
  <c r="A434" i="14"/>
  <c r="A129" i="18"/>
  <c r="A435" i="14"/>
  <c r="A307" i="16"/>
  <c r="A269" i="17"/>
  <c r="A431" i="14"/>
  <c r="A432" i="14"/>
  <c r="A308" i="16"/>
  <c r="A130" i="18"/>
  <c r="A267" i="17"/>
  <c r="A433" i="14"/>
  <c r="A400" i="16"/>
  <c r="A550" i="14"/>
  <c r="A346" i="17"/>
  <c r="B347" i="17" s="1"/>
  <c r="A551" i="14"/>
  <c r="A397" i="16"/>
  <c r="A401" i="16"/>
  <c r="A548" i="14"/>
  <c r="A395" i="16"/>
  <c r="A398" i="16"/>
  <c r="A344" i="17"/>
  <c r="A393" i="16"/>
  <c r="A396" i="16"/>
  <c r="A469" i="17"/>
  <c r="A549" i="14"/>
  <c r="A552" i="14"/>
  <c r="A399" i="16"/>
  <c r="A345" i="17"/>
  <c r="A394" i="16"/>
  <c r="A553" i="14"/>
  <c r="B554" i="14" s="1"/>
  <c r="B555" i="14" s="1"/>
  <c r="B556" i="14" s="1"/>
  <c r="B557" i="14" s="1"/>
  <c r="B558" i="14" s="1"/>
  <c r="B559" i="14" s="1"/>
  <c r="A468" i="17"/>
  <c r="A730" i="14"/>
  <c r="A733" i="14"/>
  <c r="A470" i="17"/>
  <c r="A466" i="17"/>
  <c r="A467" i="17"/>
  <c r="A506" i="16"/>
  <c r="A731" i="14"/>
  <c r="A507" i="16"/>
  <c r="A732" i="14"/>
  <c r="A508" i="16"/>
  <c r="A729" i="14"/>
  <c r="A1172" i="14"/>
  <c r="A604" i="16"/>
  <c r="A564" i="17"/>
  <c r="A868" i="14"/>
  <c r="A599" i="16"/>
  <c r="A563" i="17"/>
  <c r="A605" i="16"/>
  <c r="A866" i="14"/>
  <c r="A869" i="14"/>
  <c r="A601" i="16"/>
  <c r="A602" i="16"/>
  <c r="A867" i="14"/>
  <c r="A600" i="16"/>
  <c r="A603" i="16"/>
  <c r="A562" i="17"/>
  <c r="A598" i="16"/>
  <c r="A870" i="14"/>
  <c r="A689" i="16"/>
  <c r="A1147" i="14"/>
  <c r="A693" i="16"/>
  <c r="A1065" i="14"/>
  <c r="A795" i="16"/>
  <c r="A1047" i="14"/>
  <c r="A736" i="16"/>
  <c r="A1187" i="14"/>
  <c r="A768" i="16"/>
  <c r="A816" i="16"/>
  <c r="A692" i="16"/>
  <c r="A1167" i="14"/>
  <c r="A767" i="17"/>
  <c r="A703" i="17"/>
  <c r="A1173" i="14"/>
  <c r="A1013" i="14"/>
  <c r="A769" i="16"/>
  <c r="A1046" i="14"/>
  <c r="A1049" i="14"/>
  <c r="A771" i="17"/>
  <c r="A747" i="17"/>
  <c r="A1054" i="14"/>
  <c r="A813" i="16"/>
  <c r="A689" i="17"/>
  <c r="A1026" i="14"/>
  <c r="A772" i="16"/>
  <c r="A92" i="14"/>
  <c r="A824" i="16"/>
  <c r="A694" i="17"/>
  <c r="A773" i="17"/>
  <c r="A797" i="16"/>
  <c r="A789" i="16"/>
  <c r="A759" i="17"/>
  <c r="A688" i="16"/>
  <c r="A691" i="17"/>
  <c r="A672" i="17"/>
  <c r="A1188" i="14"/>
  <c r="A735" i="16"/>
  <c r="A1056" i="14"/>
  <c r="A674" i="17"/>
  <c r="A738" i="17"/>
  <c r="A770" i="16"/>
  <c r="A746" i="17"/>
  <c r="A690" i="17"/>
  <c r="A680" i="17"/>
  <c r="A1145" i="14"/>
  <c r="A1042" i="14"/>
  <c r="A679" i="17"/>
  <c r="A739" i="17"/>
  <c r="A1189" i="14"/>
  <c r="A771" i="16"/>
  <c r="A1126" i="14"/>
  <c r="A1043" i="14"/>
  <c r="A1128" i="14"/>
  <c r="A1053" i="14"/>
  <c r="A663" i="17"/>
  <c r="A1129" i="14"/>
  <c r="A1070" i="14"/>
  <c r="A758" i="17"/>
  <c r="A1175" i="14"/>
  <c r="A664" i="17"/>
  <c r="A1060" i="14"/>
  <c r="A1177" i="14"/>
  <c r="A693" i="17"/>
  <c r="A1157" i="14"/>
  <c r="A695" i="17"/>
  <c r="A774" i="17"/>
  <c r="A716" i="16"/>
  <c r="A671" i="17"/>
  <c r="A1048" i="14"/>
  <c r="A701" i="17"/>
  <c r="A1044" i="14"/>
  <c r="A1032" i="14"/>
  <c r="A737" i="16"/>
  <c r="A1148" i="14"/>
  <c r="A724" i="16"/>
  <c r="A1067" i="14"/>
  <c r="A1034" i="14"/>
  <c r="A723" i="16"/>
  <c r="A1146" i="14"/>
  <c r="A1069" i="14"/>
  <c r="A681" i="17"/>
  <c r="A1035" i="14"/>
  <c r="A686" i="17"/>
  <c r="A811" i="16"/>
  <c r="A682" i="17"/>
  <c r="A731" i="16"/>
  <c r="A726" i="16"/>
  <c r="A749" i="17"/>
  <c r="A1036" i="14"/>
  <c r="A1158" i="14"/>
  <c r="A1124" i="14"/>
  <c r="A695" i="16"/>
  <c r="A751" i="17"/>
  <c r="A1174" i="14"/>
  <c r="A1062" i="14"/>
  <c r="A750" i="17"/>
  <c r="A688" i="17"/>
  <c r="A730" i="16"/>
  <c r="A1178" i="14"/>
  <c r="A1028" i="14"/>
  <c r="A1012" i="14"/>
  <c r="A685" i="17"/>
  <c r="A772" i="17"/>
  <c r="A1037" i="14"/>
  <c r="A734" i="16"/>
  <c r="A796" i="16"/>
  <c r="A673" i="17"/>
  <c r="A1064" i="14"/>
  <c r="A1039" i="14"/>
  <c r="A794" i="16"/>
  <c r="A1038" i="14"/>
  <c r="A1066" i="14"/>
  <c r="A1186" i="14"/>
  <c r="A800" i="16"/>
  <c r="A725" i="16"/>
  <c r="A694" i="16"/>
  <c r="A1127" i="14"/>
  <c r="A715" i="16"/>
  <c r="A1050" i="14"/>
  <c r="A659" i="17"/>
  <c r="A801" i="16"/>
  <c r="A1041" i="14"/>
  <c r="A1166" i="14"/>
  <c r="A1045" i="14"/>
  <c r="A687" i="17"/>
  <c r="A1176" i="14"/>
  <c r="A1024" i="14"/>
  <c r="A1159" i="14"/>
  <c r="A1071" i="14"/>
  <c r="A773" i="16"/>
  <c r="A1165" i="14"/>
  <c r="A1051" i="14"/>
  <c r="A662" i="17"/>
  <c r="A815" i="16"/>
  <c r="A1063" i="14"/>
  <c r="A660" i="17"/>
  <c r="A1168" i="14"/>
  <c r="A774" i="16"/>
  <c r="A1040" i="14"/>
  <c r="A1027" i="14"/>
  <c r="A760" i="17"/>
  <c r="A100" i="14"/>
  <c r="A696" i="17"/>
  <c r="A717" i="16"/>
  <c r="A788" i="16"/>
  <c r="A1031" i="14"/>
  <c r="A687" i="16"/>
  <c r="A798" i="16"/>
  <c r="A1030" i="14"/>
  <c r="A790" i="16"/>
  <c r="A766" i="17"/>
  <c r="A1155" i="14"/>
  <c r="A799" i="16"/>
  <c r="A1055" i="14"/>
  <c r="A691" i="16"/>
  <c r="A690" i="16"/>
  <c r="A1169" i="14"/>
  <c r="A1033" i="14"/>
  <c r="A702" i="17"/>
  <c r="A1052" i="14"/>
  <c r="A661" i="17"/>
  <c r="A748" i="17"/>
  <c r="A737" i="17"/>
  <c r="A1125" i="14"/>
  <c r="A683" i="17"/>
  <c r="A1170" i="14"/>
  <c r="A1171" i="14"/>
  <c r="A700" i="17"/>
  <c r="A1025" i="14"/>
  <c r="A1068" i="14"/>
  <c r="A814" i="16"/>
  <c r="A684" i="17"/>
  <c r="A1185" i="14"/>
  <c r="A1156" i="14"/>
  <c r="A714" i="16"/>
  <c r="A1061" i="14"/>
  <c r="A1029" i="14"/>
  <c r="A692" i="17"/>
  <c r="A825" i="16"/>
  <c r="A54" i="14"/>
  <c r="A603" i="14"/>
  <c r="A385" i="14"/>
  <c r="A76" i="14"/>
  <c r="A949" i="14"/>
  <c r="A7" i="14"/>
  <c r="A539" i="14"/>
  <c r="A9" i="14"/>
  <c r="A980" i="14"/>
  <c r="A305" i="14"/>
  <c r="A604" i="14"/>
  <c r="A767" i="14"/>
  <c r="A452" i="14"/>
  <c r="A580" i="14"/>
  <c r="A441" i="14"/>
  <c r="A900" i="14"/>
  <c r="A252" i="14"/>
  <c r="A479" i="14"/>
  <c r="A713" i="14"/>
  <c r="A275" i="14"/>
  <c r="A991" i="14"/>
  <c r="A361" i="14"/>
  <c r="A96" i="14"/>
  <c r="A208" i="14"/>
  <c r="A11" i="14"/>
  <c r="A215" i="14"/>
  <c r="A278" i="14"/>
  <c r="A380" i="14"/>
  <c r="A214" i="14"/>
  <c r="A10" i="14"/>
  <c r="A666" i="14"/>
  <c r="A887" i="14"/>
  <c r="A174" i="14"/>
  <c r="A608" i="14"/>
  <c r="A849" i="14"/>
  <c r="A831" i="14"/>
  <c r="A419" i="14"/>
  <c r="A908" i="14"/>
  <c r="A847" i="14"/>
  <c r="A149" i="14"/>
  <c r="A374" i="14"/>
  <c r="A760" i="14"/>
  <c r="A719" i="14"/>
  <c r="A948" i="14"/>
  <c r="A911" i="14"/>
  <c r="A636" i="17"/>
  <c r="A901" i="14"/>
  <c r="B902" i="14" s="1"/>
  <c r="B903" i="14" s="1"/>
  <c r="A345" i="14"/>
  <c r="A606" i="14"/>
  <c r="A399" i="14"/>
  <c r="A917" i="14"/>
  <c r="A809" i="14"/>
  <c r="A288" i="14"/>
  <c r="A671" i="14"/>
  <c r="A645" i="14"/>
  <c r="A803" i="14"/>
  <c r="A958" i="14"/>
  <c r="A541" i="14"/>
  <c r="A1010" i="14"/>
  <c r="A583" i="14"/>
  <c r="B584" i="14" s="1"/>
  <c r="B585" i="14" s="1"/>
  <c r="A988" i="14"/>
  <c r="A87" i="14"/>
  <c r="A673" i="14"/>
  <c r="A255" i="14"/>
  <c r="A216" i="14"/>
  <c r="A404" i="14"/>
  <c r="A241" i="14"/>
  <c r="A279" i="14"/>
  <c r="A146" i="14"/>
  <c r="A992" i="14"/>
  <c r="A508" i="14"/>
  <c r="A405" i="14"/>
  <c r="A628" i="17"/>
  <c r="A959" i="14"/>
  <c r="A855" i="14"/>
  <c r="B856" i="14" s="1"/>
  <c r="A875" i="14"/>
  <c r="A795" i="14"/>
  <c r="A796" i="14"/>
  <c r="A835" i="14"/>
  <c r="A763" i="14"/>
  <c r="A290" i="14"/>
  <c r="A790" i="14"/>
  <c r="A759" i="14"/>
  <c r="A699" i="17"/>
  <c r="A706" i="14"/>
  <c r="A616" i="14"/>
  <c r="A669" i="14"/>
  <c r="A698" i="17"/>
  <c r="A726" i="14"/>
  <c r="A646" i="17"/>
  <c r="A779" i="14"/>
  <c r="A655" i="14"/>
  <c r="A946" i="14"/>
  <c r="A91" i="14"/>
  <c r="A686" i="14"/>
  <c r="A678" i="17"/>
  <c r="A732" i="16"/>
  <c r="A774" i="14"/>
  <c r="A384" i="14"/>
  <c r="A393" i="14"/>
  <c r="A646" i="14"/>
  <c r="A78" i="14"/>
  <c r="A31" i="14"/>
  <c r="A639" i="17"/>
  <c r="B640" i="17" s="1"/>
  <c r="A26" i="14"/>
  <c r="A969" i="14"/>
  <c r="A876" i="14"/>
  <c r="A838" i="14"/>
  <c r="A851" i="14"/>
  <c r="A245" i="14"/>
  <c r="A791" i="14"/>
  <c r="A761" i="14"/>
  <c r="A274" i="14"/>
  <c r="A660" i="14"/>
  <c r="A292" i="14"/>
  <c r="A638" i="17"/>
  <c r="A565" i="14"/>
  <c r="A638" i="14"/>
  <c r="A956" i="14"/>
  <c r="A504" i="14"/>
  <c r="A625" i="14"/>
  <c r="A947" i="14"/>
  <c r="A122" i="14"/>
  <c r="A70" i="14"/>
  <c r="A27" i="14"/>
  <c r="A371" i="14"/>
  <c r="A718" i="16"/>
  <c r="A455" i="14"/>
  <c r="A71" i="14"/>
  <c r="A477" i="14"/>
  <c r="A715" i="14"/>
  <c r="A996" i="14"/>
  <c r="A920" i="14"/>
  <c r="B921" i="14" s="1"/>
  <c r="A57" i="14"/>
  <c r="A708" i="14"/>
  <c r="A568" i="14"/>
  <c r="A607" i="14"/>
  <c r="A197" i="14"/>
  <c r="A830" i="14"/>
  <c r="A529" i="14"/>
  <c r="A801" i="14"/>
  <c r="A810" i="14"/>
  <c r="A805" i="14"/>
  <c r="A840" i="14"/>
  <c r="A882" i="14"/>
  <c r="A689" i="14"/>
  <c r="A53" i="14"/>
  <c r="A273" i="14"/>
  <c r="A936" i="14"/>
  <c r="A605" i="14"/>
  <c r="A421" i="14"/>
  <c r="A863" i="14"/>
  <c r="A544" i="14"/>
  <c r="A700" i="14"/>
  <c r="A331" i="14"/>
  <c r="A538" i="14"/>
  <c r="A347" i="14"/>
  <c r="B348" i="14" s="1"/>
  <c r="B349" i="14" s="1"/>
  <c r="B350" i="14" s="1"/>
  <c r="B351" i="14" s="1"/>
  <c r="B352" i="14" s="1"/>
  <c r="B353" i="14" s="1"/>
  <c r="B354" i="14" s="1"/>
  <c r="A145" i="14"/>
  <c r="A69" i="14"/>
  <c r="A613" i="14"/>
  <c r="A58" i="14"/>
  <c r="A507" i="14"/>
  <c r="A782" i="14"/>
  <c r="A697" i="17"/>
  <c r="A378" i="14"/>
  <c r="A410" i="14"/>
  <c r="A939" i="14"/>
  <c r="A957" i="14"/>
  <c r="A814" i="14"/>
  <c r="A648" i="17"/>
  <c r="A877" i="14"/>
  <c r="A938" i="14"/>
  <c r="A125" i="14"/>
  <c r="A615" i="14"/>
  <c r="A714" i="14"/>
  <c r="A256" i="14"/>
  <c r="B257" i="14" s="1"/>
  <c r="B258" i="14" s="1"/>
  <c r="A205" i="14"/>
  <c r="A776" i="14"/>
  <c r="A707" i="14"/>
  <c r="A626" i="14"/>
  <c r="A74" i="14"/>
  <c r="A355" i="14"/>
  <c r="A817" i="14"/>
  <c r="A99" i="14"/>
  <c r="A545" i="14"/>
  <c r="A644" i="17"/>
  <c r="A662" i="14"/>
  <c r="A52" i="14"/>
  <c r="A837" i="14"/>
  <c r="A623" i="14"/>
  <c r="A612" i="14"/>
  <c r="A240" i="14"/>
  <c r="A597" i="17"/>
  <c r="A566" i="14"/>
  <c r="A306" i="14"/>
  <c r="A823" i="14"/>
  <c r="A994" i="14"/>
  <c r="A309" i="14"/>
  <c r="A635" i="14"/>
  <c r="A303" i="14"/>
  <c r="A846" i="14"/>
  <c r="A834" i="14"/>
  <c r="A815" i="14"/>
  <c r="A618" i="17"/>
  <c r="A916" i="14"/>
  <c r="A398" i="14"/>
  <c r="B399" i="14" s="1"/>
  <c r="A778" i="14"/>
  <c r="B779" i="14" s="1"/>
  <c r="A775" i="14"/>
  <c r="A203" i="14"/>
  <c r="A777" i="14"/>
  <c r="A277" i="14"/>
  <c r="A651" i="14"/>
  <c r="A322" i="14"/>
  <c r="A728" i="14"/>
  <c r="B729" i="14" s="1"/>
  <c r="A615" i="17"/>
  <c r="A812" i="14"/>
  <c r="A802" i="14"/>
  <c r="A653" i="17"/>
  <c r="A475" i="14"/>
  <c r="A93" i="14"/>
  <c r="A387" i="14"/>
  <c r="A672" i="14"/>
  <c r="B673" i="14" s="1"/>
  <c r="A142" i="14"/>
  <c r="A412" i="14"/>
  <c r="B413" i="14" s="1"/>
  <c r="B414" i="14" s="1"/>
  <c r="B415" i="14" s="1"/>
  <c r="B416" i="14" s="1"/>
  <c r="B417" i="14" s="1"/>
  <c r="B418" i="14" s="1"/>
  <c r="A754" i="14"/>
  <c r="A406" i="14"/>
  <c r="A820" i="14"/>
  <c r="A972" i="14"/>
  <c r="A511" i="14"/>
  <c r="A721" i="16"/>
  <c r="A271" i="14"/>
  <c r="A813" i="14"/>
  <c r="A740" i="14"/>
  <c r="A735" i="14"/>
  <c r="A648" i="14"/>
  <c r="A389" i="14"/>
  <c r="A72" i="14"/>
  <c r="A722" i="14"/>
  <c r="A175" i="14"/>
  <c r="A764" i="14"/>
  <c r="A619" i="17"/>
  <c r="A420" i="14"/>
  <c r="A746" i="14"/>
  <c r="B747" i="14" s="1"/>
  <c r="A716" i="14"/>
  <c r="A874" i="14"/>
  <c r="A862" i="14"/>
  <c r="A571" i="14"/>
  <c r="A721" i="14"/>
  <c r="A542" i="14"/>
  <c r="A737" i="14"/>
  <c r="A784" i="14"/>
  <c r="A442" i="14"/>
  <c r="A757" i="14"/>
  <c r="A723" i="14"/>
  <c r="A705" i="14"/>
  <c r="A600" i="17"/>
  <c r="A879" i="14"/>
  <c r="A886" i="14"/>
  <c r="A654" i="17"/>
  <c r="A204" i="14"/>
  <c r="A207" i="14"/>
  <c r="A437" i="14"/>
  <c r="A381" i="14"/>
  <c r="A618" i="14"/>
  <c r="A649" i="17"/>
  <c r="A570" i="14"/>
  <c r="A102" i="14"/>
  <c r="A88" i="14"/>
  <c r="A79" i="14"/>
  <c r="A741" i="14"/>
  <c r="A397" i="14"/>
  <c r="A598" i="17"/>
  <c r="A73" i="14"/>
  <c r="A610" i="14"/>
  <c r="A755" i="14"/>
  <c r="A987" i="14"/>
  <c r="A850" i="14"/>
  <c r="B851" i="14" s="1"/>
  <c r="A745" i="14"/>
  <c r="A323" i="14"/>
  <c r="A411" i="14"/>
  <c r="A640" i="14"/>
  <c r="A77" i="14"/>
  <c r="A657" i="14"/>
  <c r="A320" i="14"/>
  <c r="A51" i="14"/>
  <c r="A272" i="14"/>
  <c r="A235" i="14"/>
  <c r="A308" i="14"/>
  <c r="A725" i="14"/>
  <c r="A756" i="14"/>
  <c r="A739" i="14"/>
  <c r="A1006" i="14"/>
  <c r="A177" i="14"/>
  <c r="A476" i="14"/>
  <c r="A563" i="14"/>
  <c r="A195" i="14"/>
  <c r="A611" i="14"/>
  <c r="B612" i="14" s="1"/>
  <c r="A211" i="14"/>
  <c r="A663" i="14"/>
  <c r="A509" i="14"/>
  <c r="A865" i="14"/>
  <c r="B866" i="14" s="1"/>
  <c r="B867" i="14" s="1"/>
  <c r="B868" i="14" s="1"/>
  <c r="B869" i="14" s="1"/>
  <c r="B870" i="14" s="1"/>
  <c r="A1011" i="14"/>
  <c r="A55" i="14"/>
  <c r="A13" i="14"/>
  <c r="A250" i="14"/>
  <c r="A711" i="14"/>
  <c r="A369" i="14"/>
  <c r="A616" i="17"/>
  <c r="A637" i="17"/>
  <c r="A998" i="14"/>
  <c r="A833" i="14"/>
  <c r="A540" i="14"/>
  <c r="A688" i="14"/>
  <c r="A607" i="17"/>
  <c r="A377" i="14"/>
  <c r="A561" i="14"/>
  <c r="A154" i="14"/>
  <c r="A304" i="14"/>
  <c r="A50" i="14"/>
  <c r="A36" i="14"/>
  <c r="A407" i="14"/>
  <c r="A156" i="14"/>
  <c r="B157" i="14" s="1"/>
  <c r="A719" i="16"/>
  <c r="A291" i="14"/>
  <c r="A334" i="14"/>
  <c r="A333" i="14"/>
  <c r="A993" i="14"/>
  <c r="A193" i="14"/>
  <c r="A212" i="14"/>
  <c r="A123" i="14"/>
  <c r="A710" i="14"/>
  <c r="A990" i="14"/>
  <c r="A995" i="14"/>
  <c r="A236" i="14"/>
  <c r="A567" i="14"/>
  <c r="A547" i="14"/>
  <c r="B548" i="14" s="1"/>
  <c r="B549" i="14" s="1"/>
  <c r="B550" i="14" s="1"/>
  <c r="B551" i="14" s="1"/>
  <c r="B552" i="14" s="1"/>
  <c r="B553" i="14" s="1"/>
  <c r="A733" i="16"/>
  <c r="A744" i="14"/>
  <c r="A16" i="14"/>
  <c r="A617" i="17"/>
  <c r="A800" i="14"/>
  <c r="A878" i="14"/>
  <c r="A653" i="14"/>
  <c r="A332" i="14"/>
  <c r="A439" i="14"/>
  <c r="A232" i="14"/>
  <c r="A269" i="14"/>
  <c r="A155" i="14"/>
  <c r="A242" i="14"/>
  <c r="A765" i="14"/>
  <c r="A293" i="14"/>
  <c r="A179" i="14"/>
  <c r="A788" i="14"/>
  <c r="A783" i="14"/>
  <c r="A822" i="14"/>
  <c r="A562" i="14"/>
  <c r="A217" i="14"/>
  <c r="A428" i="14"/>
  <c r="A624" i="14"/>
  <c r="A734" i="14"/>
  <c r="A280" i="14"/>
  <c r="B281" i="14" s="1"/>
  <c r="B282" i="14" s="1"/>
  <c r="A357" i="14"/>
  <c r="A773" i="14"/>
  <c r="B774" i="14" s="1"/>
  <c r="A853" i="14"/>
  <c r="A630" i="17"/>
  <c r="A985" i="14"/>
  <c r="A808" i="14"/>
  <c r="A884" i="14"/>
  <c r="A614" i="17"/>
  <c r="A889" i="14"/>
  <c r="A24" i="14"/>
  <c r="A907" i="14"/>
  <c r="A613" i="17"/>
  <c r="A881" i="14"/>
  <c r="A816" i="14"/>
  <c r="A647" i="17"/>
  <c r="A599" i="17"/>
  <c r="A1058" i="14"/>
  <c r="A454" i="14"/>
  <c r="A697" i="14"/>
  <c r="A717" i="14"/>
  <c r="A631" i="14"/>
  <c r="A614" i="14"/>
  <c r="A582" i="14"/>
  <c r="A144" i="14"/>
  <c r="A632" i="14"/>
  <c r="A426" i="14"/>
  <c r="A628" i="14"/>
  <c r="A363" i="14"/>
  <c r="A537" i="14"/>
  <c r="A403" i="14"/>
  <c r="A121" i="14"/>
  <c r="A824" i="14"/>
  <c r="A675" i="14"/>
  <c r="A659" i="14"/>
  <c r="A765" i="17"/>
  <c r="A289" i="14"/>
  <c r="A294" i="14"/>
  <c r="A459" i="14"/>
  <c r="B460" i="14" s="1"/>
  <c r="A676" i="14"/>
  <c r="A448" i="14"/>
  <c r="A388" i="14"/>
  <c r="A75" i="14"/>
  <c r="A90" i="14"/>
  <c r="A141" i="14"/>
  <c r="A738" i="14"/>
  <c r="A530" i="14"/>
  <c r="A664" i="14"/>
  <c r="A248" i="14"/>
  <c r="A724" i="14"/>
  <c r="A661" i="14"/>
  <c r="A408" i="14"/>
  <c r="A372" i="14"/>
  <c r="A394" i="14"/>
  <c r="A937" i="14"/>
  <c r="A391" i="14"/>
  <c r="A188" i="14"/>
  <c r="A512" i="14"/>
  <c r="A825" i="14"/>
  <c r="A787" i="14"/>
  <c r="A629" i="14"/>
  <c r="A343" i="14"/>
  <c r="A643" i="14"/>
  <c r="A478" i="14"/>
  <c r="A789" i="14"/>
  <c r="A630" i="14"/>
  <c r="A484" i="14"/>
  <c r="A181" i="14"/>
  <c r="A758" i="14"/>
  <c r="B759" i="14" s="1"/>
  <c r="A581" i="14"/>
  <c r="A768" i="14"/>
  <c r="A365" i="14"/>
  <c r="A97" i="14"/>
  <c r="A579" i="14"/>
  <c r="A527" i="14"/>
  <c r="A143" i="14"/>
  <c r="A989" i="14"/>
  <c r="A720" i="16"/>
  <c r="A1004" i="14"/>
  <c r="A770" i="14"/>
  <c r="A712" i="14"/>
  <c r="A827" i="14"/>
  <c r="A641" i="14"/>
  <c r="A506" i="14"/>
  <c r="A247" i="14"/>
  <c r="A564" i="14"/>
  <c r="A1059" i="14"/>
  <c r="A619" i="14"/>
  <c r="A675" i="17"/>
  <c r="A103" i="14"/>
  <c r="A727" i="14"/>
  <c r="A543" i="14"/>
  <c r="A370" i="14"/>
  <c r="A821" i="14"/>
  <c r="A150" i="14"/>
  <c r="A449" i="14"/>
  <c r="A786" i="14"/>
  <c r="A769" i="14"/>
  <c r="A346" i="14"/>
  <c r="A505" i="14"/>
  <c r="A685" i="14"/>
  <c r="A56" i="14"/>
  <c r="A386" i="14"/>
  <c r="A310" i="14"/>
  <c r="B311" i="14" s="1"/>
  <c r="A396" i="14"/>
  <c r="A1005" i="14"/>
  <c r="A360" i="14"/>
  <c r="A440" i="14"/>
  <c r="A101" i="14"/>
  <c r="A578" i="14"/>
  <c r="A650" i="14"/>
  <c r="A373" i="14"/>
  <c r="A89" i="14"/>
  <c r="A94" i="14"/>
  <c r="A483" i="14"/>
  <c r="A358" i="14"/>
  <c r="A453" i="14"/>
  <c r="A720" i="14"/>
  <c r="A213" i="14"/>
  <c r="A189" i="14"/>
  <c r="A702" i="14"/>
  <c r="A356" i="14"/>
  <c r="A546" i="14"/>
  <c r="A627" i="14"/>
  <c r="A456" i="14"/>
  <c r="A297" i="14"/>
  <c r="B298" i="14" s="1"/>
  <c r="B299" i="14" s="1"/>
  <c r="B300" i="14" s="1"/>
  <c r="B301" i="14" s="1"/>
  <c r="B302" i="14" s="1"/>
  <c r="A1057" i="14"/>
  <c r="A120" i="14"/>
  <c r="A237" i="14"/>
  <c r="A772" i="14"/>
  <c r="A447" i="14"/>
  <c r="A709" i="14"/>
  <c r="A670" i="14"/>
  <c r="A231" i="14"/>
  <c r="A608" i="17"/>
  <c r="A890" i="14"/>
  <c r="A620" i="17"/>
  <c r="B621" i="17" s="1"/>
  <c r="B622" i="17" s="1"/>
  <c r="B623" i="17" s="1"/>
  <c r="B624" i="17" s="1"/>
  <c r="A793" i="14"/>
  <c r="A883" i="14"/>
  <c r="A798" i="14"/>
  <c r="A897" i="14"/>
  <c r="A35" i="14"/>
  <c r="A912" i="14"/>
  <c r="A854" i="14"/>
  <c r="A14" i="14"/>
  <c r="A797" i="14"/>
  <c r="A910" i="14"/>
  <c r="A970" i="14"/>
  <c r="A839" i="14"/>
  <c r="A531" i="14"/>
  <c r="A766" i="14"/>
  <c r="A382" i="14"/>
  <c r="A239" i="14"/>
  <c r="A425" i="14"/>
  <c r="A190" i="14"/>
  <c r="A390" i="14"/>
  <c r="A644" i="14"/>
  <c r="B645" i="14" s="1"/>
  <c r="A655" i="17"/>
  <c r="A344" i="14"/>
  <c r="A457" i="14"/>
  <c r="A206" i="14"/>
  <c r="A458" i="14"/>
  <c r="A637" i="14"/>
  <c r="A569" i="14"/>
  <c r="A668" i="14"/>
  <c r="A609" i="14"/>
  <c r="A359" i="14"/>
  <c r="A176" i="14"/>
  <c r="A642" i="14"/>
  <c r="A379" i="14"/>
  <c r="A474" i="14"/>
  <c r="A698" i="14"/>
  <c r="A718" i="14"/>
  <c r="B719" i="14" s="1"/>
  <c r="A832" i="14"/>
  <c r="A192" i="14"/>
  <c r="A147" i="14"/>
  <c r="A701" i="14"/>
  <c r="A244" i="14"/>
  <c r="B245" i="14" s="1"/>
  <c r="A209" i="14"/>
  <c r="A233" i="14"/>
  <c r="A667" i="14"/>
  <c r="A764" i="17"/>
  <c r="A238" i="14"/>
  <c r="A295" i="14"/>
  <c r="A982" i="14"/>
  <c r="A12" i="14"/>
  <c r="A986" i="14"/>
  <c r="A836" i="14"/>
  <c r="A650" i="17"/>
  <c r="A34" i="14"/>
  <c r="A794" i="14"/>
  <c r="A848" i="14"/>
  <c r="A609" i="17"/>
  <c r="B610" i="17" s="1"/>
  <c r="A983" i="14"/>
  <c r="A28" i="14"/>
  <c r="A629" i="17"/>
  <c r="A899" i="14"/>
  <c r="A652" i="17"/>
  <c r="A852" i="14"/>
  <c r="A430" i="14"/>
  <c r="B431" i="14" s="1"/>
  <c r="A191" i="14"/>
  <c r="A621" i="14"/>
  <c r="A196" i="14"/>
  <c r="A819" i="14"/>
  <c r="A481" i="14"/>
  <c r="A636" i="14"/>
  <c r="A828" i="14"/>
  <c r="A771" i="14"/>
  <c r="A528" i="14"/>
  <c r="A647" i="14"/>
  <c r="A1009" i="14"/>
  <c r="A173" i="14"/>
  <c r="A677" i="17"/>
  <c r="A336" i="14"/>
  <c r="B337" i="14" s="1"/>
  <c r="A151" i="14"/>
  <c r="A400" i="14"/>
  <c r="A362" i="14"/>
  <c r="A129" i="14"/>
  <c r="B130" i="14" s="1"/>
  <c r="A126" i="14"/>
  <c r="A617" i="14"/>
  <c r="A228" i="14"/>
  <c r="A153" i="14"/>
  <c r="A429" i="14"/>
  <c r="A753" i="14"/>
  <c r="A409" i="14"/>
  <c r="A210" i="14"/>
  <c r="A395" i="14"/>
  <c r="A30" i="14"/>
  <c r="A32" i="14"/>
  <c r="A38" i="14"/>
  <c r="A861" i="14"/>
  <c r="A885" i="14"/>
  <c r="A811" i="14"/>
  <c r="A909" i="14"/>
  <c r="A981" i="14"/>
  <c r="A864" i="14"/>
  <c r="A792" i="14"/>
  <c r="A806" i="14"/>
  <c r="A872" i="14"/>
  <c r="A818" i="14"/>
  <c r="A915" i="14"/>
  <c r="A631" i="17"/>
  <c r="B632" i="17" s="1"/>
  <c r="A482" i="14"/>
  <c r="A218" i="14"/>
  <c r="A742" i="14"/>
  <c r="A230" i="14"/>
  <c r="A622" i="14"/>
  <c r="A1007" i="14"/>
  <c r="A704" i="14"/>
  <c r="A383" i="14"/>
  <c r="A276" i="14"/>
  <c r="A812" i="16"/>
  <c r="A321" i="14"/>
  <c r="A480" i="14"/>
  <c r="A375" i="14"/>
  <c r="A676" i="17"/>
  <c r="A152" i="14"/>
  <c r="A364" i="14"/>
  <c r="A367" i="14"/>
  <c r="A246" i="14"/>
  <c r="A658" i="14"/>
  <c r="A485" i="14"/>
  <c r="B486" i="14" s="1"/>
  <c r="B487" i="14" s="1"/>
  <c r="B488" i="14" s="1"/>
  <c r="B489" i="14" s="1"/>
  <c r="B490" i="14" s="1"/>
  <c r="B491" i="14" s="1"/>
  <c r="A699" i="14"/>
  <c r="A919" i="14"/>
  <c r="A513" i="14"/>
  <c r="B514" i="14" s="1"/>
  <c r="B515" i="14" s="1"/>
  <c r="B516" i="14" s="1"/>
  <c r="B517" i="14" s="1"/>
  <c r="B518" i="14" s="1"/>
  <c r="B519" i="14" s="1"/>
  <c r="B520" i="14" s="1"/>
  <c r="A438" i="14"/>
  <c r="A451" i="14"/>
  <c r="A182" i="14"/>
  <c r="B183" i="14" s="1"/>
  <c r="B184" i="14" s="1"/>
  <c r="A254" i="14"/>
  <c r="A445" i="14"/>
  <c r="A690" i="14"/>
  <c r="B691" i="14" s="1"/>
  <c r="A178" i="14"/>
  <c r="A219" i="14"/>
  <c r="A251" i="14"/>
  <c r="A148" i="14"/>
  <c r="B149" i="14" s="1"/>
  <c r="B150" i="14" s="1"/>
  <c r="B151" i="14" s="1"/>
  <c r="A633" i="14"/>
  <c r="A229" i="14"/>
  <c r="A253" i="14"/>
  <c r="A913" i="14"/>
  <c r="A651" i="17"/>
  <c r="A891" i="14"/>
  <c r="B892" i="14" s="1"/>
  <c r="A49" i="14"/>
  <c r="A971" i="14"/>
  <c r="A871" i="14"/>
  <c r="A799" i="14"/>
  <c r="A807" i="14"/>
  <c r="B808" i="14" s="1"/>
  <c r="A961" i="14"/>
  <c r="B962" i="14" s="1"/>
  <c r="B963" i="14" s="1"/>
  <c r="B964" i="14" s="1"/>
  <c r="A984" i="14"/>
  <c r="A15" i="14"/>
  <c r="A645" i="17"/>
  <c r="A873" i="14"/>
  <c r="A973" i="14"/>
  <c r="A401" i="14"/>
  <c r="A1008" i="14"/>
  <c r="A243" i="14"/>
  <c r="A180" i="14"/>
  <c r="A620" i="14"/>
  <c r="A829" i="14"/>
  <c r="A127" i="14"/>
  <c r="A634" i="14"/>
  <c r="B635" i="14" s="1"/>
  <c r="A602" i="14"/>
  <c r="A194" i="14"/>
  <c r="A677" i="14"/>
  <c r="B678" i="14" s="1"/>
  <c r="B679" i="14" s="1"/>
  <c r="B680" i="14" s="1"/>
  <c r="B681" i="14" s="1"/>
  <c r="B682" i="14" s="1"/>
  <c r="B683" i="14" s="1"/>
  <c r="B684" i="14" s="1"/>
  <c r="A762" i="14"/>
  <c r="A270" i="14"/>
  <c r="A296" i="14"/>
  <c r="A997" i="14"/>
  <c r="A366" i="14"/>
  <c r="A444" i="14"/>
  <c r="A703" i="14"/>
  <c r="A335" i="14"/>
  <c r="A376" i="14"/>
  <c r="A124" i="14"/>
  <c r="B125" i="14" s="1"/>
  <c r="B126" i="14" s="1"/>
  <c r="A220" i="14"/>
  <c r="B221" i="14" s="1"/>
  <c r="B222" i="14" s="1"/>
  <c r="B223" i="14" s="1"/>
  <c r="B224" i="14" s="1"/>
  <c r="B225" i="14" s="1"/>
  <c r="B226" i="14" s="1"/>
  <c r="B227" i="14" s="1"/>
  <c r="A665" i="14"/>
  <c r="A368" i="14"/>
  <c r="A572" i="14"/>
  <c r="B573" i="14" s="1"/>
  <c r="A510" i="14"/>
  <c r="A785" i="14"/>
  <c r="A324" i="14"/>
  <c r="B325" i="14" s="1"/>
  <c r="A128" i="14"/>
  <c r="A249" i="14"/>
  <c r="A674" i="14"/>
  <c r="A656" i="14"/>
  <c r="A781" i="14"/>
  <c r="A652" i="14"/>
  <c r="A98" i="14"/>
  <c r="A654" i="14"/>
  <c r="A307" i="14"/>
  <c r="A422" i="14"/>
  <c r="A722" i="16"/>
  <c r="A392" i="14"/>
  <c r="B393" i="14" s="1"/>
  <c r="A427" i="14"/>
  <c r="A780" i="14"/>
  <c r="A423" i="14"/>
  <c r="A234" i="14"/>
  <c r="A914" i="14"/>
  <c r="B915" i="14" s="1"/>
  <c r="A37" i="14"/>
  <c r="A940" i="14"/>
  <c r="B941" i="14" s="1"/>
  <c r="A880" i="14"/>
  <c r="B881" i="14" s="1"/>
  <c r="B882" i="14" s="1"/>
  <c r="A23" i="14"/>
  <c r="A33" i="14"/>
  <c r="A8" i="14"/>
  <c r="A29" i="14"/>
  <c r="A804" i="14"/>
  <c r="A888" i="14"/>
  <c r="A918" i="14"/>
  <c r="A898" i="14"/>
  <c r="A950" i="14"/>
  <c r="B951" i="14" s="1"/>
  <c r="A960" i="14"/>
  <c r="A25" i="14"/>
  <c r="A402" i="14"/>
  <c r="A639" i="14"/>
  <c r="B640" i="14" s="1"/>
  <c r="A424" i="14"/>
  <c r="A450" i="14"/>
  <c r="A736" i="14"/>
  <c r="A446" i="14"/>
  <c r="A743" i="14"/>
  <c r="A687" i="14"/>
  <c r="A95" i="14"/>
  <c r="A443" i="14"/>
  <c r="A826" i="14"/>
  <c r="A649" i="14"/>
  <c r="B650" i="14" s="1"/>
  <c r="A565" i="16"/>
  <c r="A559" i="16"/>
  <c r="A10" i="16"/>
  <c r="A557" i="16"/>
  <c r="A566" i="16"/>
  <c r="A517" i="17"/>
  <c r="A529" i="17"/>
  <c r="A567" i="16"/>
  <c r="A560" i="16"/>
  <c r="A510" i="17"/>
  <c r="A551" i="16"/>
  <c r="A547" i="16"/>
  <c r="A562" i="16"/>
  <c r="A527" i="17"/>
  <c r="A554" i="16"/>
  <c r="A552" i="16"/>
  <c r="A508" i="17"/>
  <c r="A523" i="17"/>
  <c r="A553" i="16"/>
  <c r="A511" i="17"/>
  <c r="A526" i="17"/>
  <c r="A518" i="17"/>
  <c r="A520" i="17"/>
  <c r="A519" i="17"/>
  <c r="A507" i="17"/>
  <c r="A524" i="17"/>
  <c r="A550" i="16"/>
  <c r="A525" i="17"/>
  <c r="A569" i="17"/>
  <c r="A516" i="17"/>
  <c r="A555" i="16"/>
  <c r="A528" i="17"/>
  <c r="A505" i="17"/>
  <c r="A513" i="17"/>
  <c r="A546" i="16"/>
  <c r="A556" i="16"/>
  <c r="A509" i="17"/>
  <c r="A558" i="16"/>
  <c r="B559" i="16" s="1"/>
  <c r="A521" i="17"/>
  <c r="A563" i="16"/>
  <c r="A545" i="16"/>
  <c r="A506" i="17"/>
  <c r="A564" i="16"/>
  <c r="A574" i="17"/>
  <c r="A548" i="16"/>
  <c r="A515" i="17"/>
  <c r="A549" i="16"/>
  <c r="A561" i="16"/>
  <c r="A522" i="17"/>
  <c r="A512" i="17"/>
  <c r="A514" i="17"/>
  <c r="A532" i="17"/>
  <c r="A541" i="17"/>
  <c r="A542" i="17"/>
  <c r="A543" i="17"/>
  <c r="A547" i="17"/>
  <c r="A575" i="16"/>
  <c r="A573" i="16"/>
  <c r="A589" i="16"/>
  <c r="A624" i="16"/>
  <c r="B625" i="16" s="1"/>
  <c r="A619" i="16"/>
  <c r="B620" i="16" s="1"/>
  <c r="B621" i="16" s="1"/>
  <c r="A587" i="16"/>
  <c r="A540" i="17"/>
  <c r="A570" i="16"/>
  <c r="A608" i="16"/>
  <c r="A597" i="16"/>
  <c r="A623" i="16"/>
  <c r="A534" i="17"/>
  <c r="A586" i="16"/>
  <c r="A576" i="16"/>
  <c r="B577" i="16" s="1"/>
  <c r="A572" i="16"/>
  <c r="A546" i="17"/>
  <c r="A609" i="16"/>
  <c r="A531" i="17"/>
  <c r="A615" i="16"/>
  <c r="B616" i="16" s="1"/>
  <c r="A590" i="16"/>
  <c r="B591" i="16" s="1"/>
  <c r="B592" i="16" s="1"/>
  <c r="A593" i="16"/>
  <c r="A568" i="16"/>
  <c r="A545" i="17"/>
  <c r="A595" i="16"/>
  <c r="A571" i="16"/>
  <c r="A539" i="17"/>
  <c r="A585" i="16"/>
  <c r="A530" i="17"/>
  <c r="A574" i="16"/>
  <c r="A535" i="17"/>
  <c r="B536" i="17" s="1"/>
  <c r="B537" i="17" s="1"/>
  <c r="B538" i="17" s="1"/>
  <c r="A622" i="16"/>
  <c r="A607" i="16"/>
  <c r="A613" i="16"/>
  <c r="A610" i="16"/>
  <c r="A606" i="16"/>
  <c r="A612" i="16"/>
  <c r="A588" i="16"/>
  <c r="A584" i="16"/>
  <c r="A618" i="16"/>
  <c r="A614" i="16"/>
  <c r="A569" i="16"/>
  <c r="A544" i="17"/>
  <c r="A596" i="16"/>
  <c r="A594" i="16"/>
  <c r="A611" i="16"/>
  <c r="A533" i="17"/>
  <c r="A576" i="17"/>
  <c r="A632" i="16"/>
  <c r="A640" i="16"/>
  <c r="A669" i="16"/>
  <c r="A681" i="16"/>
  <c r="A559" i="17"/>
  <c r="A684" i="16"/>
  <c r="A579" i="17"/>
  <c r="A633" i="16"/>
  <c r="A678" i="16"/>
  <c r="A683" i="16"/>
  <c r="A656" i="16"/>
  <c r="A570" i="17"/>
  <c r="A641" i="16"/>
  <c r="A565" i="17"/>
  <c r="A651" i="16"/>
  <c r="B652" i="16" s="1"/>
  <c r="A581" i="17"/>
  <c r="A567" i="17"/>
  <c r="A572" i="17"/>
  <c r="A550" i="17"/>
  <c r="B551" i="17" s="1"/>
  <c r="B552" i="17" s="1"/>
  <c r="A591" i="17"/>
  <c r="A680" i="16"/>
  <c r="A665" i="16"/>
  <c r="A577" i="17"/>
  <c r="A657" i="16"/>
  <c r="A566" i="17"/>
  <c r="A658" i="16"/>
  <c r="A659" i="16"/>
  <c r="B660" i="16" s="1"/>
  <c r="A548" i="17"/>
  <c r="A671" i="16"/>
  <c r="B672" i="16" s="1"/>
  <c r="B673" i="16" s="1"/>
  <c r="B674" i="16" s="1"/>
  <c r="B675" i="16" s="1"/>
  <c r="A642" i="16"/>
  <c r="B643" i="16" s="1"/>
  <c r="A631" i="16"/>
  <c r="A648" i="16"/>
  <c r="A561" i="17"/>
  <c r="A593" i="17"/>
  <c r="B594" i="17" s="1"/>
  <c r="B595" i="17" s="1"/>
  <c r="A679" i="16"/>
  <c r="A685" i="16"/>
  <c r="A578" i="17"/>
  <c r="A504" i="17"/>
  <c r="B505" i="17" s="1"/>
  <c r="A686" i="16"/>
  <c r="A571" i="17"/>
  <c r="A650" i="16"/>
  <c r="A667" i="16"/>
  <c r="A500" i="17"/>
  <c r="A573" i="17"/>
  <c r="A639" i="16"/>
  <c r="A568" i="17"/>
  <c r="A575" i="17"/>
  <c r="A560" i="17"/>
  <c r="A649" i="16"/>
  <c r="A682" i="16"/>
  <c r="A655" i="16"/>
  <c r="A668" i="16"/>
  <c r="A503" i="17"/>
  <c r="A670" i="16"/>
  <c r="A580" i="17"/>
  <c r="A502" i="17"/>
  <c r="A666" i="16"/>
  <c r="A592" i="17"/>
  <c r="A549" i="17"/>
  <c r="A634" i="16"/>
  <c r="B635" i="16" s="1"/>
  <c r="B636" i="16" s="1"/>
  <c r="B637" i="16" s="1"/>
  <c r="B638" i="16" s="1"/>
  <c r="A526" i="16"/>
  <c r="A493" i="17"/>
  <c r="A489" i="17"/>
  <c r="A540" i="16"/>
  <c r="A529" i="16"/>
  <c r="A530" i="16"/>
  <c r="A511" i="16"/>
  <c r="A473" i="17"/>
  <c r="A539" i="16"/>
  <c r="A488" i="17"/>
  <c r="A537" i="16"/>
  <c r="A496" i="17"/>
  <c r="A525" i="16"/>
  <c r="A524" i="16"/>
  <c r="A484" i="17"/>
  <c r="A483" i="17"/>
  <c r="A542" i="16"/>
  <c r="A532" i="16"/>
  <c r="A538" i="16"/>
  <c r="A495" i="17"/>
  <c r="A536" i="16"/>
  <c r="A727" i="16"/>
  <c r="A497" i="17"/>
  <c r="A482" i="17"/>
  <c r="A729" i="16"/>
  <c r="A527" i="16"/>
  <c r="A501" i="17"/>
  <c r="A728" i="16"/>
  <c r="A534" i="16"/>
  <c r="A516" i="16"/>
  <c r="B517" i="16" s="1"/>
  <c r="A541" i="16"/>
  <c r="A487" i="17"/>
  <c r="A630" i="16"/>
  <c r="A514" i="16"/>
  <c r="A515" i="16"/>
  <c r="A494" i="17"/>
  <c r="B495" i="17" s="1"/>
  <c r="A528" i="16"/>
  <c r="A499" i="17"/>
  <c r="A533" i="16"/>
  <c r="A491" i="17"/>
  <c r="A492" i="17"/>
  <c r="A480" i="17"/>
  <c r="A481" i="17"/>
  <c r="A486" i="17"/>
  <c r="A629" i="16"/>
  <c r="A513" i="16"/>
  <c r="A475" i="17"/>
  <c r="A476" i="17"/>
  <c r="B477" i="17" s="1"/>
  <c r="B478" i="17" s="1"/>
  <c r="B479" i="17" s="1"/>
  <c r="A498" i="17"/>
  <c r="A490" i="17"/>
  <c r="A485" i="17"/>
  <c r="A544" i="16"/>
  <c r="A512" i="16"/>
  <c r="A474" i="17"/>
  <c r="A531" i="16"/>
  <c r="A543" i="16"/>
  <c r="A535" i="16"/>
  <c r="B536" i="16" s="1"/>
  <c r="A448" i="17"/>
  <c r="A446" i="17"/>
  <c r="B447" i="17" s="1"/>
  <c r="A444" i="17"/>
  <c r="A493" i="16"/>
  <c r="A489" i="16"/>
  <c r="A449" i="17"/>
  <c r="A442" i="17"/>
  <c r="A452" i="17"/>
  <c r="A494" i="16"/>
  <c r="A488" i="16"/>
  <c r="A491" i="16"/>
  <c r="A451" i="17"/>
  <c r="A483" i="16"/>
  <c r="B484" i="16" s="1"/>
  <c r="A486" i="16"/>
  <c r="A438" i="17"/>
  <c r="B439" i="17" s="1"/>
  <c r="A447" i="17"/>
  <c r="A437" i="17"/>
  <c r="A487" i="16"/>
  <c r="A450" i="17"/>
  <c r="A492" i="16"/>
  <c r="A445" i="17"/>
  <c r="A443" i="17"/>
  <c r="A490" i="16"/>
  <c r="B491" i="16" s="1"/>
  <c r="A455" i="17"/>
  <c r="A458" i="17"/>
  <c r="A454" i="17"/>
  <c r="A453" i="17"/>
  <c r="A495" i="16"/>
  <c r="A496" i="16"/>
  <c r="A457" i="17"/>
  <c r="A456" i="17"/>
  <c r="A497" i="16"/>
  <c r="A421" i="17"/>
  <c r="A420" i="17"/>
  <c r="A476" i="16"/>
  <c r="A418" i="17"/>
  <c r="A482" i="16"/>
  <c r="A504" i="16"/>
  <c r="A432" i="17"/>
  <c r="B433" i="17" s="1"/>
  <c r="B434" i="17" s="1"/>
  <c r="B435" i="17" s="1"/>
  <c r="A502" i="16"/>
  <c r="A478" i="16"/>
  <c r="A500" i="16"/>
  <c r="A423" i="17"/>
  <c r="A419" i="17"/>
  <c r="A470" i="16"/>
  <c r="A426" i="17"/>
  <c r="A405" i="17"/>
  <c r="A498" i="16"/>
  <c r="A428" i="17"/>
  <c r="A475" i="16"/>
  <c r="A431" i="17"/>
  <c r="A422" i="17"/>
  <c r="A430" i="17"/>
  <c r="A473" i="16"/>
  <c r="A477" i="16"/>
  <c r="A471" i="16"/>
  <c r="A503" i="16"/>
  <c r="A479" i="16"/>
  <c r="B480" i="16" s="1"/>
  <c r="A427" i="17"/>
  <c r="A425" i="17"/>
  <c r="A499" i="16"/>
  <c r="A501" i="16"/>
  <c r="A424" i="17"/>
  <c r="A472" i="16"/>
  <c r="A474" i="16"/>
  <c r="A429" i="17"/>
  <c r="A407" i="17"/>
  <c r="A389" i="17"/>
  <c r="A462" i="16"/>
  <c r="A462" i="17"/>
  <c r="A460" i="17"/>
  <c r="A403" i="17"/>
  <c r="A453" i="16"/>
  <c r="A413" i="17"/>
  <c r="A461" i="17"/>
  <c r="A505" i="16"/>
  <c r="B506" i="16" s="1"/>
  <c r="B507" i="16" s="1"/>
  <c r="B508" i="16" s="1"/>
  <c r="A456" i="16"/>
  <c r="A393" i="17"/>
  <c r="A392" i="17"/>
  <c r="A442" i="16"/>
  <c r="A443" i="16"/>
  <c r="A509" i="16"/>
  <c r="A463" i="17"/>
  <c r="A440" i="16"/>
  <c r="A468" i="16"/>
  <c r="A452" i="16"/>
  <c r="A395" i="17"/>
  <c r="A458" i="16"/>
  <c r="A412" i="17"/>
  <c r="A471" i="17"/>
  <c r="A408" i="17"/>
  <c r="A385" i="17"/>
  <c r="A459" i="17"/>
  <c r="A406" i="17"/>
  <c r="A410" i="17"/>
  <c r="A464" i="16"/>
  <c r="A439" i="16"/>
  <c r="A457" i="16"/>
  <c r="A409" i="17"/>
  <c r="A455" i="16"/>
  <c r="A437" i="16"/>
  <c r="A416" i="17"/>
  <c r="A451" i="16"/>
  <c r="A445" i="16"/>
  <c r="A414" i="17"/>
  <c r="A388" i="17"/>
  <c r="A402" i="17"/>
  <c r="A464" i="17"/>
  <c r="A397" i="17"/>
  <c r="A417" i="17"/>
  <c r="A446" i="16"/>
  <c r="A472" i="17"/>
  <c r="A386" i="17"/>
  <c r="A469" i="16"/>
  <c r="A415" i="17"/>
  <c r="A384" i="17"/>
  <c r="A435" i="16"/>
  <c r="A387" i="17"/>
  <c r="A463" i="16"/>
  <c r="A459" i="16"/>
  <c r="A465" i="16"/>
  <c r="A383" i="17"/>
  <c r="A460" i="16"/>
  <c r="A404" i="17"/>
  <c r="A465" i="17"/>
  <c r="B466" i="17" s="1"/>
  <c r="A444" i="16"/>
  <c r="A461" i="16"/>
  <c r="A434" i="16"/>
  <c r="A396" i="17"/>
  <c r="A467" i="16"/>
  <c r="A411" i="17"/>
  <c r="A436" i="16"/>
  <c r="A466" i="16"/>
  <c r="A436" i="17"/>
  <c r="A394" i="17"/>
  <c r="B395" i="17" s="1"/>
  <c r="A441" i="16"/>
  <c r="A454" i="16"/>
  <c r="A438" i="16"/>
  <c r="A212" i="16"/>
  <c r="A400" i="17"/>
  <c r="A327" i="17"/>
  <c r="A342" i="17"/>
  <c r="A390" i="16"/>
  <c r="A355" i="17"/>
  <c r="A94" i="18"/>
  <c r="B95" i="18" s="1"/>
  <c r="A317" i="17"/>
  <c r="B318" i="17" s="1"/>
  <c r="B319" i="17" s="1"/>
  <c r="B320" i="17" s="1"/>
  <c r="B321" i="17" s="1"/>
  <c r="A389" i="16"/>
  <c r="A354" i="17"/>
  <c r="A316" i="17"/>
  <c r="A388" i="16"/>
  <c r="A353" i="17"/>
  <c r="A410" i="16"/>
  <c r="B411" i="16" s="1"/>
  <c r="A341" i="17"/>
  <c r="A186" i="17"/>
  <c r="B187" i="17" s="1"/>
  <c r="A367" i="17"/>
  <c r="A376" i="16"/>
  <c r="B377" i="16" s="1"/>
  <c r="B378" i="16" s="1"/>
  <c r="B379" i="16" s="1"/>
  <c r="B380" i="16" s="1"/>
  <c r="A366" i="17"/>
  <c r="A343" i="17"/>
  <c r="A401" i="17"/>
  <c r="A352" i="17"/>
  <c r="A447" i="16"/>
  <c r="A181" i="17"/>
  <c r="A183" i="17"/>
  <c r="A357" i="17"/>
  <c r="A211" i="16"/>
  <c r="A184" i="17"/>
  <c r="A329" i="17"/>
  <c r="A185" i="17"/>
  <c r="A330" i="17"/>
  <c r="A375" i="16"/>
  <c r="A386" i="16"/>
  <c r="A340" i="17"/>
  <c r="A387" i="16"/>
  <c r="A384" i="16"/>
  <c r="A339" i="17"/>
  <c r="A182" i="17"/>
  <c r="A383" i="16"/>
  <c r="A338" i="17"/>
  <c r="A409" i="16"/>
  <c r="A328" i="17"/>
  <c r="A382" i="16"/>
  <c r="A408" i="16"/>
  <c r="A510" i="16"/>
  <c r="A399" i="17"/>
  <c r="A381" i="16"/>
  <c r="A331" i="17"/>
  <c r="B332" i="17" s="1"/>
  <c r="B333" i="17" s="1"/>
  <c r="B334" i="17" s="1"/>
  <c r="B335" i="17" s="1"/>
  <c r="B336" i="17" s="1"/>
  <c r="A373" i="16"/>
  <c r="A407" i="16"/>
  <c r="A450" i="16"/>
  <c r="A398" i="17"/>
  <c r="A214" i="16"/>
  <c r="B215" i="16" s="1"/>
  <c r="B216" i="16" s="1"/>
  <c r="B217" i="16" s="1"/>
  <c r="B218" i="16" s="1"/>
  <c r="B219" i="16" s="1"/>
  <c r="B220" i="16" s="1"/>
  <c r="A364" i="16"/>
  <c r="B365" i="16" s="1"/>
  <c r="B366" i="16" s="1"/>
  <c r="A392" i="16"/>
  <c r="B393" i="16" s="1"/>
  <c r="A449" i="16"/>
  <c r="A391" i="17"/>
  <c r="A213" i="16"/>
  <c r="A358" i="17"/>
  <c r="B359" i="17" s="1"/>
  <c r="A363" i="16"/>
  <c r="A391" i="16"/>
  <c r="A356" i="17"/>
  <c r="A448" i="16"/>
  <c r="A374" i="16"/>
  <c r="A357" i="16"/>
  <c r="A310" i="17"/>
  <c r="A156" i="16"/>
  <c r="A336" i="16"/>
  <c r="A313" i="17"/>
  <c r="A123" i="17"/>
  <c r="A154" i="16"/>
  <c r="A311" i="17"/>
  <c r="A358" i="16"/>
  <c r="A339" i="16"/>
  <c r="A356" i="16"/>
  <c r="A359" i="16"/>
  <c r="A71" i="18"/>
  <c r="A155" i="16"/>
  <c r="A153" i="16"/>
  <c r="A157" i="18"/>
  <c r="A337" i="16"/>
  <c r="A122" i="17"/>
  <c r="A335" i="16"/>
  <c r="A312" i="17"/>
  <c r="A27" i="16"/>
  <c r="A354" i="16"/>
  <c r="A338" i="16"/>
  <c r="A355" i="16"/>
  <c r="A73" i="18"/>
  <c r="A300" i="17"/>
  <c r="B301" i="17" s="1"/>
  <c r="B302" i="17" s="1"/>
  <c r="B303" i="17" s="1"/>
  <c r="A72" i="18"/>
  <c r="A158" i="18"/>
  <c r="A121" i="17"/>
  <c r="A124" i="17"/>
  <c r="B125" i="17" s="1"/>
  <c r="B126" i="17" s="1"/>
  <c r="B127" i="17" s="1"/>
  <c r="B128" i="17" s="1"/>
  <c r="A50" i="17"/>
  <c r="A275" i="17"/>
  <c r="A17" i="16"/>
  <c r="A271" i="17"/>
  <c r="A274" i="17"/>
  <c r="A28" i="16"/>
  <c r="A264" i="17"/>
  <c r="A282" i="17"/>
  <c r="A281" i="17"/>
  <c r="A279" i="17"/>
  <c r="A278" i="17"/>
  <c r="A277" i="17"/>
  <c r="A272" i="17"/>
  <c r="A265" i="17"/>
  <c r="B266" i="17" s="1"/>
  <c r="B267" i="17" s="1"/>
  <c r="B268" i="17" s="1"/>
  <c r="B269" i="17" s="1"/>
  <c r="A283" i="17"/>
  <c r="A276" i="17"/>
  <c r="A280" i="17"/>
  <c r="A273" i="17"/>
  <c r="A270" i="17"/>
  <c r="A15" i="16"/>
  <c r="A263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0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3" i="16"/>
  <c r="A250" i="17"/>
  <c r="A49" i="17"/>
  <c r="A35" i="16"/>
  <c r="A108" i="17"/>
  <c r="A21" i="18"/>
  <c r="A34" i="16"/>
  <c r="A380" i="17"/>
  <c r="A415" i="16"/>
  <c r="A316" i="16"/>
  <c r="A275" i="16"/>
  <c r="A285" i="16"/>
  <c r="A135" i="18"/>
  <c r="A243" i="17"/>
  <c r="A93" i="18"/>
  <c r="A84" i="18"/>
  <c r="A318" i="16"/>
  <c r="A286" i="16"/>
  <c r="A115" i="18"/>
  <c r="A241" i="17"/>
  <c r="A274" i="16"/>
  <c r="A362" i="16"/>
  <c r="A145" i="18"/>
  <c r="A242" i="17"/>
  <c r="A289" i="16"/>
  <c r="A146" i="18"/>
  <c r="A238" i="17"/>
  <c r="A90" i="18"/>
  <c r="B91" i="18" s="1"/>
  <c r="B92" i="18" s="1"/>
  <c r="A60" i="18"/>
  <c r="A224" i="17"/>
  <c r="A125" i="18"/>
  <c r="A236" i="17"/>
  <c r="A257" i="17"/>
  <c r="A134" i="18"/>
  <c r="A282" i="16"/>
  <c r="A126" i="18"/>
  <c r="A237" i="17"/>
  <c r="A127" i="18"/>
  <c r="A333" i="16"/>
  <c r="A231" i="17"/>
  <c r="A49" i="16"/>
  <c r="A149" i="16"/>
  <c r="A61" i="18"/>
  <c r="A26" i="18"/>
  <c r="A44" i="17"/>
  <c r="A136" i="18"/>
  <c r="A222" i="17"/>
  <c r="A322" i="16"/>
  <c r="B323" i="16" s="1"/>
  <c r="A121" i="18"/>
  <c r="A288" i="16"/>
  <c r="A332" i="16"/>
  <c r="A228" i="17"/>
  <c r="A314" i="16"/>
  <c r="A315" i="17"/>
  <c r="A269" i="16"/>
  <c r="A67" i="16"/>
  <c r="A47" i="18"/>
  <c r="B48" i="18" s="1"/>
  <c r="B49" i="18" s="1"/>
  <c r="A27" i="18"/>
  <c r="A290" i="16"/>
  <c r="A229" i="17"/>
  <c r="A284" i="16"/>
  <c r="A304" i="16"/>
  <c r="A278" i="16"/>
  <c r="A305" i="16"/>
  <c r="A249" i="17"/>
  <c r="A221" i="16"/>
  <c r="B222" i="16" s="1"/>
  <c r="A32" i="18"/>
  <c r="A109" i="17"/>
  <c r="A127" i="16"/>
  <c r="A263" i="16"/>
  <c r="A311" i="16"/>
  <c r="A267" i="16"/>
  <c r="A156" i="18"/>
  <c r="A313" i="16"/>
  <c r="A381" i="17"/>
  <c r="A223" i="17"/>
  <c r="A310" i="16"/>
  <c r="A272" i="16"/>
  <c r="A246" i="17"/>
  <c r="A382" i="17"/>
  <c r="A314" i="17"/>
  <c r="A240" i="17"/>
  <c r="A256" i="17"/>
  <c r="A42" i="17"/>
  <c r="A159" i="16"/>
  <c r="A51" i="16"/>
  <c r="A298" i="17"/>
  <c r="A315" i="16"/>
  <c r="A247" i="17"/>
  <c r="A226" i="17"/>
  <c r="A244" i="17"/>
  <c r="A271" i="16"/>
  <c r="A116" i="18"/>
  <c r="A230" i="17"/>
  <c r="A239" i="17"/>
  <c r="A297" i="17"/>
  <c r="A252" i="17"/>
  <c r="B253" i="17" s="1"/>
  <c r="B254" i="17" s="1"/>
  <c r="B255" i="17" s="1"/>
  <c r="A117" i="18"/>
  <c r="A293" i="16"/>
  <c r="A235" i="17"/>
  <c r="A361" i="16"/>
  <c r="A75" i="16"/>
  <c r="A62" i="18"/>
  <c r="A150" i="16"/>
  <c r="A126" i="16"/>
  <c r="A279" i="16"/>
  <c r="A390" i="17"/>
  <c r="A233" i="17"/>
  <c r="A227" i="17"/>
  <c r="A251" i="17"/>
  <c r="A245" i="17"/>
  <c r="A270" i="16"/>
  <c r="A268" i="16"/>
  <c r="A234" i="17"/>
  <c r="A360" i="16"/>
  <c r="A142" i="18"/>
  <c r="A280" i="16"/>
  <c r="A321" i="16"/>
  <c r="A160" i="16"/>
  <c r="A45" i="17"/>
  <c r="A133" i="18"/>
  <c r="A118" i="18"/>
  <c r="A309" i="16"/>
  <c r="A319" i="16"/>
  <c r="A277" i="16"/>
  <c r="A312" i="16"/>
  <c r="A248" i="17"/>
  <c r="B249" i="17" s="1"/>
  <c r="A320" i="16"/>
  <c r="A128" i="18"/>
  <c r="B129" i="18" s="1"/>
  <c r="A32" i="17"/>
  <c r="A37" i="16"/>
  <c r="A162" i="16"/>
  <c r="A26" i="16"/>
  <c r="A48" i="17"/>
  <c r="A10" i="17"/>
  <c r="A287" i="16"/>
  <c r="A281" i="16"/>
  <c r="A296" i="17"/>
  <c r="A141" i="18"/>
  <c r="A299" i="17"/>
  <c r="A132" i="18"/>
  <c r="A368" i="17"/>
  <c r="A302" i="16"/>
  <c r="A120" i="18"/>
  <c r="A76" i="18"/>
  <c r="A161" i="16"/>
  <c r="A46" i="17"/>
  <c r="A110" i="18"/>
  <c r="A144" i="18"/>
  <c r="A334" i="16"/>
  <c r="A294" i="16"/>
  <c r="B295" i="16" s="1"/>
  <c r="A291" i="16"/>
  <c r="A292" i="16"/>
  <c r="A378" i="17"/>
  <c r="A119" i="18"/>
  <c r="A317" i="16"/>
  <c r="A414" i="16"/>
  <c r="A379" i="17"/>
  <c r="A283" i="16"/>
  <c r="A225" i="17"/>
  <c r="A416" i="16"/>
  <c r="A303" i="16"/>
  <c r="A417" i="16"/>
  <c r="A122" i="18"/>
  <c r="B123" i="18" s="1"/>
  <c r="A114" i="18"/>
  <c r="A232" i="17"/>
  <c r="A276" i="16"/>
  <c r="A46" i="18"/>
  <c r="A131" i="17"/>
  <c r="A30" i="17"/>
  <c r="A85" i="16"/>
  <c r="A17" i="18"/>
  <c r="A73" i="17"/>
  <c r="A130" i="17"/>
  <c r="A43" i="18"/>
  <c r="A101" i="16"/>
  <c r="B102" i="16" s="1"/>
  <c r="A44" i="18"/>
  <c r="A8" i="18"/>
  <c r="A45" i="18"/>
  <c r="A195" i="16"/>
  <c r="A167" i="17"/>
  <c r="A39" i="18"/>
  <c r="A114" i="17"/>
  <c r="A111" i="18"/>
  <c r="A53" i="16"/>
  <c r="A125" i="16"/>
  <c r="A100" i="17"/>
  <c r="B101" i="17" s="1"/>
  <c r="B102" i="17" s="1"/>
  <c r="B103" i="17" s="1"/>
  <c r="B104" i="17" s="1"/>
  <c r="A52" i="16"/>
  <c r="A33" i="18"/>
  <c r="A76" i="17"/>
  <c r="A124" i="16"/>
  <c r="A196" i="16"/>
  <c r="A168" i="17"/>
  <c r="A129" i="17"/>
  <c r="A122" i="16"/>
  <c r="A67" i="18"/>
  <c r="A146" i="16"/>
  <c r="A198" i="16"/>
  <c r="A199" i="16"/>
  <c r="A9" i="16"/>
  <c r="A7" i="18"/>
  <c r="A76" i="16"/>
  <c r="A79" i="17"/>
  <c r="B80" i="17" s="1"/>
  <c r="A144" i="16"/>
  <c r="A81" i="16"/>
  <c r="A31" i="16"/>
  <c r="A132" i="16"/>
  <c r="A41" i="18"/>
  <c r="A163" i="17"/>
  <c r="A24" i="17"/>
  <c r="A77" i="17"/>
  <c r="A86" i="17"/>
  <c r="A147" i="16"/>
  <c r="A86" i="16"/>
  <c r="A197" i="16"/>
  <c r="A18" i="16"/>
  <c r="A14" i="16"/>
  <c r="A108" i="18"/>
  <c r="A123" i="16"/>
  <c r="A68" i="18"/>
  <c r="A97" i="18"/>
  <c r="B98" i="18" s="1"/>
  <c r="A96" i="16"/>
  <c r="A98" i="16"/>
  <c r="A165" i="17"/>
  <c r="A63" i="18"/>
  <c r="B64" i="18" s="1"/>
  <c r="B65" i="18" s="1"/>
  <c r="B66" i="18" s="1"/>
  <c r="A100" i="16"/>
  <c r="A40" i="18"/>
  <c r="A200" i="16"/>
  <c r="B201" i="16" s="1"/>
  <c r="A89" i="18"/>
  <c r="A72" i="17"/>
  <c r="A79" i="16"/>
  <c r="A6" i="18"/>
  <c r="A34" i="18"/>
  <c r="A135" i="16"/>
  <c r="B136" i="16" s="1"/>
  <c r="A145" i="16"/>
  <c r="A116" i="17"/>
  <c r="A164" i="17"/>
  <c r="A7" i="17"/>
  <c r="B7" i="17" s="1"/>
  <c r="A33" i="16"/>
  <c r="A97" i="16"/>
  <c r="A85" i="17"/>
  <c r="A103" i="18"/>
  <c r="A8" i="16"/>
  <c r="A166" i="17"/>
  <c r="A27" i="17"/>
  <c r="A84" i="16"/>
  <c r="A133" i="16"/>
  <c r="A99" i="16"/>
  <c r="A87" i="17"/>
  <c r="A254" i="16"/>
  <c r="A40" i="17"/>
  <c r="A6" i="16"/>
  <c r="A66" i="16"/>
  <c r="A64" i="17"/>
  <c r="A57" i="18"/>
  <c r="A134" i="17"/>
  <c r="A55" i="18"/>
  <c r="A69" i="18"/>
  <c r="A97" i="17"/>
  <c r="A118" i="17"/>
  <c r="A117" i="16"/>
  <c r="B118" i="16" s="1"/>
  <c r="A266" i="16"/>
  <c r="A188" i="16"/>
  <c r="A22" i="18"/>
  <c r="A19" i="18"/>
  <c r="A68" i="17"/>
  <c r="A164" i="16"/>
  <c r="A131" i="16"/>
  <c r="A265" i="16"/>
  <c r="A193" i="16"/>
  <c r="A137" i="17"/>
  <c r="A261" i="16"/>
  <c r="A109" i="18"/>
  <c r="A13" i="18"/>
  <c r="A110" i="16"/>
  <c r="A114" i="16"/>
  <c r="A261" i="17"/>
  <c r="A113" i="18"/>
  <c r="A77" i="18"/>
  <c r="A168" i="16"/>
  <c r="A2" i="17"/>
  <c r="A42" i="18"/>
  <c r="A112" i="16"/>
  <c r="A115" i="17"/>
  <c r="A129" i="16"/>
  <c r="A82" i="16"/>
  <c r="A259" i="17"/>
  <c r="A3" i="17"/>
  <c r="A69" i="16"/>
  <c r="A63" i="17"/>
  <c r="A64" i="16"/>
  <c r="A101" i="18"/>
  <c r="B102" i="18" s="1"/>
  <c r="A117" i="17"/>
  <c r="A95" i="17"/>
  <c r="A433" i="16"/>
  <c r="A169" i="16"/>
  <c r="A79" i="18"/>
  <c r="A43" i="17"/>
  <c r="A48" i="16"/>
  <c r="A120" i="17"/>
  <c r="A113" i="16"/>
  <c r="A98" i="17"/>
  <c r="A220" i="17"/>
  <c r="A4" i="16"/>
  <c r="A50" i="16"/>
  <c r="A135" i="17"/>
  <c r="A56" i="18"/>
  <c r="A133" i="17"/>
  <c r="A260" i="16"/>
  <c r="A2" i="16"/>
  <c r="A66" i="17"/>
  <c r="A163" i="16"/>
  <c r="A111" i="16"/>
  <c r="A116" i="16"/>
  <c r="A80" i="16"/>
  <c r="A185" i="16"/>
  <c r="A20" i="18"/>
  <c r="A3" i="16"/>
  <c r="A205" i="17"/>
  <c r="B206" i="17" s="1"/>
  <c r="B207" i="17" s="1"/>
  <c r="B208" i="17" s="1"/>
  <c r="B209" i="17" s="1"/>
  <c r="B210" i="17" s="1"/>
  <c r="B211" i="17" s="1"/>
  <c r="A262" i="16"/>
  <c r="A70" i="18"/>
  <c r="A165" i="16"/>
  <c r="A96" i="17"/>
  <c r="A4" i="17"/>
  <c r="A68" i="16"/>
  <c r="A65" i="16"/>
  <c r="A2" i="14"/>
  <c r="A39" i="17"/>
  <c r="A99" i="18"/>
  <c r="B100" i="18" s="1"/>
  <c r="A212" i="17"/>
  <c r="A110" i="17"/>
  <c r="B111" i="17" s="1"/>
  <c r="A88" i="17"/>
  <c r="B89" i="17" s="1"/>
  <c r="B90" i="17" s="1"/>
  <c r="A41" i="17"/>
  <c r="A67" i="17"/>
  <c r="A104" i="18"/>
  <c r="B105" i="18" s="1"/>
  <c r="B106" i="18" s="1"/>
  <c r="A167" i="16"/>
  <c r="A112" i="18"/>
  <c r="A63" i="16"/>
  <c r="A132" i="17"/>
  <c r="A14" i="18"/>
  <c r="A119" i="17"/>
  <c r="A115" i="16"/>
  <c r="A235" i="16"/>
  <c r="A152" i="16"/>
  <c r="A151" i="16"/>
  <c r="A5" i="16"/>
  <c r="A166" i="16"/>
  <c r="A136" i="17"/>
  <c r="A80" i="18"/>
  <c r="B81" i="18" s="1"/>
  <c r="A78" i="18"/>
  <c r="A259" i="16"/>
  <c r="A65" i="17"/>
  <c r="A153" i="17"/>
  <c r="A256" i="16"/>
  <c r="A154" i="17"/>
  <c r="A238" i="16"/>
  <c r="B239" i="16" s="1"/>
  <c r="B240" i="16" s="1"/>
  <c r="B241" i="16" s="1"/>
  <c r="A178" i="16"/>
  <c r="A201" i="17"/>
  <c r="A180" i="17"/>
  <c r="A190" i="16"/>
  <c r="A85" i="18"/>
  <c r="A187" i="16"/>
  <c r="A208" i="16"/>
  <c r="A194" i="16"/>
  <c r="A192" i="17"/>
  <c r="B193" i="17" s="1"/>
  <c r="A156" i="17"/>
  <c r="A213" i="17"/>
  <c r="A161" i="17"/>
  <c r="A175" i="16"/>
  <c r="A260" i="17"/>
  <c r="A203" i="17"/>
  <c r="A246" i="16"/>
  <c r="A179" i="17"/>
  <c r="A204" i="17"/>
  <c r="A236" i="16"/>
  <c r="A209" i="16"/>
  <c r="A138" i="17"/>
  <c r="A226" i="16"/>
  <c r="A177" i="17"/>
  <c r="A184" i="16"/>
  <c r="A194" i="17"/>
  <c r="A186" i="16"/>
  <c r="A145" i="17"/>
  <c r="A264" i="16"/>
  <c r="A142" i="17"/>
  <c r="A244" i="16"/>
  <c r="A140" i="17"/>
  <c r="A148" i="16"/>
  <c r="A258" i="17"/>
  <c r="A158" i="17"/>
  <c r="A200" i="17"/>
  <c r="A141" i="17"/>
  <c r="A86" i="18"/>
  <c r="A195" i="17"/>
  <c r="A179" i="16"/>
  <c r="B180" i="16" s="1"/>
  <c r="A94" i="17"/>
  <c r="A78" i="17"/>
  <c r="A221" i="17"/>
  <c r="A149" i="17"/>
  <c r="A143" i="17"/>
  <c r="A159" i="17"/>
  <c r="A227" i="16"/>
  <c r="A178" i="17"/>
  <c r="A225" i="16"/>
  <c r="A191" i="16"/>
  <c r="A171" i="16"/>
  <c r="A175" i="17"/>
  <c r="A255" i="16"/>
  <c r="A173" i="16"/>
  <c r="A87" i="18"/>
  <c r="A176" i="17"/>
  <c r="A258" i="16"/>
  <c r="A189" i="16"/>
  <c r="A245" i="16"/>
  <c r="A162" i="17"/>
  <c r="B163" i="17" s="1"/>
  <c r="A177" i="16"/>
  <c r="A93" i="17"/>
  <c r="A295" i="17"/>
  <c r="A418" i="16"/>
  <c r="B419" i="16" s="1"/>
  <c r="B420" i="16" s="1"/>
  <c r="B421" i="16" s="1"/>
  <c r="B422" i="16" s="1"/>
  <c r="B423" i="16" s="1"/>
  <c r="A172" i="16"/>
  <c r="A237" i="16"/>
  <c r="A157" i="17"/>
  <c r="A176" i="16"/>
  <c r="A88" i="18"/>
  <c r="A248" i="16"/>
  <c r="B249" i="16" s="1"/>
  <c r="B250" i="16" s="1"/>
  <c r="A150" i="17"/>
  <c r="A99" i="17"/>
  <c r="A83" i="16"/>
  <c r="A214" i="17"/>
  <c r="A215" i="17"/>
  <c r="B216" i="17" s="1"/>
  <c r="A174" i="16"/>
  <c r="A151" i="17"/>
  <c r="A202" i="17"/>
  <c r="A155" i="17"/>
  <c r="A192" i="16"/>
  <c r="A152" i="17"/>
  <c r="A139" i="17"/>
  <c r="A257" i="16"/>
  <c r="A130" i="16"/>
  <c r="A262" i="17"/>
  <c r="A223" i="16"/>
  <c r="A196" i="17"/>
  <c r="A228" i="16"/>
  <c r="B229" i="16" s="1"/>
  <c r="A170" i="16"/>
  <c r="A247" i="16"/>
  <c r="A160" i="17"/>
  <c r="A224" i="16"/>
  <c r="A144" i="17"/>
  <c r="B233" i="18" l="1"/>
  <c r="B35" i="18"/>
  <c r="B36" i="18" s="1"/>
  <c r="B58" i="18"/>
  <c r="B59" i="18" s="1"/>
  <c r="B147" i="18"/>
  <c r="B74" i="18"/>
  <c r="B107" i="18"/>
  <c r="B50" i="18"/>
  <c r="B218" i="18"/>
  <c r="B598" i="16"/>
  <c r="B599" i="16" s="1"/>
  <c r="B600" i="16" s="1"/>
  <c r="B601" i="16" s="1"/>
  <c r="B602" i="16" s="1"/>
  <c r="B603" i="16" s="1"/>
  <c r="B604" i="16" s="1"/>
  <c r="B605" i="16" s="1"/>
  <c r="B306" i="16"/>
  <c r="B307" i="16" s="1"/>
  <c r="B308" i="16" s="1"/>
  <c r="B94" i="16"/>
  <c r="B95" i="16" s="1"/>
  <c r="B267" i="16"/>
  <c r="B369" i="16"/>
  <c r="B119" i="16"/>
  <c r="B120" i="16" s="1"/>
  <c r="B121" i="16" s="1"/>
  <c r="B103" i="16"/>
  <c r="B104" i="16" s="1"/>
  <c r="B105" i="16" s="1"/>
  <c r="B106" i="16" s="1"/>
  <c r="B554" i="16"/>
  <c r="B390" i="15"/>
  <c r="B175" i="15"/>
  <c r="B72" i="15"/>
  <c r="B73" i="15" s="1"/>
  <c r="B246" i="14"/>
  <c r="B999" i="14"/>
  <c r="B1000" i="14" s="1"/>
  <c r="B1001" i="14" s="1"/>
  <c r="B125" i="11"/>
  <c r="B42" i="11"/>
  <c r="B199" i="11"/>
  <c r="B208" i="14"/>
  <c r="B78" i="11"/>
  <c r="B124" i="11"/>
  <c r="B326" i="15"/>
  <c r="B327" i="15" s="1"/>
  <c r="B198" i="18"/>
  <c r="B248" i="18"/>
  <c r="B134" i="18"/>
  <c r="B50" i="11"/>
  <c r="B471" i="15"/>
  <c r="B181" i="17"/>
  <c r="B182" i="17" s="1"/>
  <c r="B183" i="17" s="1"/>
  <c r="B184" i="17" s="1"/>
  <c r="B185" i="17" s="1"/>
  <c r="B186" i="17" s="1"/>
  <c r="B193" i="18"/>
  <c r="B153" i="16"/>
  <c r="B154" i="16" s="1"/>
  <c r="B155" i="16" s="1"/>
  <c r="B156" i="16" s="1"/>
  <c r="B171" i="15"/>
  <c r="B345" i="16"/>
  <c r="B224" i="18"/>
  <c r="B304" i="16"/>
  <c r="B305" i="16" s="1"/>
  <c r="B54" i="11"/>
  <c r="B168" i="11"/>
  <c r="B177" i="18"/>
  <c r="B178" i="18" s="1"/>
  <c r="B179" i="18" s="1"/>
  <c r="B280" i="18"/>
  <c r="B94" i="11"/>
  <c r="B39" i="11"/>
  <c r="B422" i="15"/>
  <c r="B423" i="15" s="1"/>
  <c r="B37" i="11"/>
  <c r="B399" i="15"/>
  <c r="B400" i="15" s="1"/>
  <c r="B105" i="17"/>
  <c r="B155" i="11"/>
  <c r="B212" i="15"/>
  <c r="B213" i="15" s="1"/>
  <c r="B252" i="18"/>
  <c r="B387" i="14"/>
  <c r="B75" i="15"/>
  <c r="B574" i="17"/>
  <c r="B575" i="17" s="1"/>
  <c r="B576" i="17" s="1"/>
  <c r="B577" i="17" s="1"/>
  <c r="B578" i="17" s="1"/>
  <c r="B579" i="17" s="1"/>
  <c r="B580" i="17" s="1"/>
  <c r="B581" i="17" s="1"/>
  <c r="B784" i="14"/>
  <c r="B397" i="15"/>
  <c r="B398" i="15" s="1"/>
  <c r="B369" i="15"/>
  <c r="B370" i="15" s="1"/>
  <c r="B106" i="15"/>
  <c r="B401" i="15"/>
  <c r="B402" i="15" s="1"/>
  <c r="B258" i="15"/>
  <c r="B259" i="15" s="1"/>
  <c r="B260" i="15" s="1"/>
  <c r="B261" i="15" s="1"/>
  <c r="B262" i="15" s="1"/>
  <c r="B36" i="11"/>
  <c r="B169" i="18"/>
  <c r="B44" i="11"/>
  <c r="B59" i="11"/>
  <c r="B211" i="16"/>
  <c r="B457" i="17"/>
  <c r="B669" i="16"/>
  <c r="B670" i="16" s="1"/>
  <c r="B671" i="16" s="1"/>
  <c r="B573" i="16"/>
  <c r="B425" i="15"/>
  <c r="B304" i="17"/>
  <c r="B32" i="11"/>
  <c r="B363" i="14"/>
  <c r="B87" i="18"/>
  <c r="B988" i="14"/>
  <c r="B188" i="11"/>
  <c r="B189" i="11" s="1"/>
  <c r="B188" i="18"/>
  <c r="B230" i="18"/>
  <c r="B238" i="18"/>
  <c r="B148" i="11"/>
  <c r="B99" i="16"/>
  <c r="B250" i="17"/>
  <c r="B251" i="17" s="1"/>
  <c r="B252" i="17" s="1"/>
  <c r="B112" i="15"/>
  <c r="B150" i="15"/>
  <c r="B140" i="11"/>
  <c r="B146" i="11"/>
  <c r="B197" i="18"/>
  <c r="B613" i="14"/>
  <c r="B614" i="14" s="1"/>
  <c r="B615" i="14" s="1"/>
  <c r="B616" i="14" s="1"/>
  <c r="B186" i="18"/>
  <c r="B192" i="18"/>
  <c r="B250" i="18"/>
  <c r="B193" i="14"/>
  <c r="B831" i="14"/>
  <c r="B136" i="11"/>
  <c r="B225" i="18"/>
  <c r="B226" i="18" s="1"/>
  <c r="B278" i="18"/>
  <c r="B405" i="14"/>
  <c r="B263" i="15"/>
  <c r="B153" i="11"/>
  <c r="B114" i="18"/>
  <c r="B100" i="11"/>
  <c r="B101" i="11" s="1"/>
  <c r="B121" i="18"/>
  <c r="B122" i="18" s="1"/>
  <c r="B775" i="14"/>
  <c r="B776" i="14" s="1"/>
  <c r="B777" i="14" s="1"/>
  <c r="B778" i="14" s="1"/>
  <c r="B267" i="18"/>
  <c r="B73" i="11"/>
  <c r="B568" i="14"/>
  <c r="B569" i="14" s="1"/>
  <c r="B570" i="14" s="1"/>
  <c r="B571" i="14" s="1"/>
  <c r="B572" i="14" s="1"/>
  <c r="B158" i="11"/>
  <c r="B251" i="16"/>
  <c r="B252" i="16" s="1"/>
  <c r="B253" i="16" s="1"/>
  <c r="B596" i="17"/>
  <c r="B250" i="15"/>
  <c r="B251" i="15" s="1"/>
  <c r="B252" i="15" s="1"/>
  <c r="B89" i="18"/>
  <c r="B90" i="18" s="1"/>
  <c r="B195" i="16"/>
  <c r="B196" i="16" s="1"/>
  <c r="B320" i="16"/>
  <c r="B321" i="16" s="1"/>
  <c r="B322" i="16" s="1"/>
  <c r="B271" i="16"/>
  <c r="B608" i="16"/>
  <c r="B609" i="16" s="1"/>
  <c r="B692" i="14"/>
  <c r="B693" i="14" s="1"/>
  <c r="B455" i="14"/>
  <c r="B459" i="15"/>
  <c r="B96" i="18"/>
  <c r="B532" i="14"/>
  <c r="B887" i="14"/>
  <c r="B198" i="14"/>
  <c r="B402" i="16"/>
  <c r="B403" i="16" s="1"/>
  <c r="B404" i="16" s="1"/>
  <c r="B405" i="16" s="1"/>
  <c r="B406" i="16" s="1"/>
  <c r="B338" i="15"/>
  <c r="B339" i="15" s="1"/>
  <c r="B284" i="18"/>
  <c r="B285" i="18" s="1"/>
  <c r="B157" i="16"/>
  <c r="B274" i="17"/>
  <c r="B463" i="17"/>
  <c r="B275" i="14"/>
  <c r="B434" i="15"/>
  <c r="B435" i="15" s="1"/>
  <c r="B217" i="15"/>
  <c r="B218" i="15" s="1"/>
  <c r="B430" i="15"/>
  <c r="B431" i="15" s="1"/>
  <c r="B302" i="15"/>
  <c r="B415" i="15"/>
  <c r="B150" i="18"/>
  <c r="B151" i="18" s="1"/>
  <c r="B152" i="18" s="1"/>
  <c r="B111" i="11"/>
  <c r="B113" i="11"/>
  <c r="B180" i="11"/>
  <c r="B181" i="11" s="1"/>
  <c r="B105" i="11"/>
  <c r="B325" i="16"/>
  <c r="B191" i="18"/>
  <c r="B169" i="17"/>
  <c r="B170" i="17" s="1"/>
  <c r="B171" i="17" s="1"/>
  <c r="B172" i="17" s="1"/>
  <c r="B173" i="17" s="1"/>
  <c r="B174" i="17" s="1"/>
  <c r="B655" i="14"/>
  <c r="B974" i="14"/>
  <c r="B975" i="14" s="1"/>
  <c r="B976" i="14" s="1"/>
  <c r="B977" i="14" s="1"/>
  <c r="B978" i="14" s="1"/>
  <c r="B979" i="14" s="1"/>
  <c r="B601" i="17"/>
  <c r="B265" i="15"/>
  <c r="B266" i="15" s="1"/>
  <c r="B267" i="15" s="1"/>
  <c r="B268" i="15" s="1"/>
  <c r="B269" i="15" s="1"/>
  <c r="B270" i="15" s="1"/>
  <c r="B241" i="18"/>
  <c r="B242" i="18" s="1"/>
  <c r="B208" i="18"/>
  <c r="B82" i="18"/>
  <c r="B83" i="18" s="1"/>
  <c r="B277" i="17"/>
  <c r="B412" i="16"/>
  <c r="B413" i="16" s="1"/>
  <c r="B651" i="14"/>
  <c r="B69" i="11"/>
  <c r="B185" i="11"/>
  <c r="B174" i="18"/>
  <c r="B276" i="18"/>
  <c r="B181" i="18"/>
  <c r="B94" i="18"/>
  <c r="B545" i="16"/>
  <c r="B546" i="16" s="1"/>
  <c r="B547" i="16" s="1"/>
  <c r="B548" i="16" s="1"/>
  <c r="B574" i="16"/>
  <c r="B575" i="16" s="1"/>
  <c r="B576" i="16" s="1"/>
  <c r="B633" i="17"/>
  <c r="B634" i="17" s="1"/>
  <c r="B635" i="17" s="1"/>
  <c r="B798" i="14"/>
  <c r="B501" i="15"/>
  <c r="B179" i="15"/>
  <c r="B322" i="17"/>
  <c r="B323" i="17" s="1"/>
  <c r="B324" i="17" s="1"/>
  <c r="B325" i="17" s="1"/>
  <c r="B326" i="17" s="1"/>
  <c r="B172" i="11"/>
  <c r="B201" i="18"/>
  <c r="B202" i="18" s="1"/>
  <c r="B197" i="17"/>
  <c r="B198" i="17" s="1"/>
  <c r="B199" i="17" s="1"/>
  <c r="B261" i="17"/>
  <c r="B369" i="17"/>
  <c r="B370" i="17" s="1"/>
  <c r="B371" i="17" s="1"/>
  <c r="B135" i="18"/>
  <c r="B136" i="18" s="1"/>
  <c r="B127" i="14"/>
  <c r="B128" i="14" s="1"/>
  <c r="B129" i="14" s="1"/>
  <c r="B283" i="14"/>
  <c r="B284" i="14" s="1"/>
  <c r="B285" i="14" s="1"/>
  <c r="B286" i="14" s="1"/>
  <c r="B287" i="14" s="1"/>
  <c r="B803" i="14"/>
  <c r="B275" i="15"/>
  <c r="B156" i="15"/>
  <c r="B222" i="15"/>
  <c r="B223" i="15" s="1"/>
  <c r="B469" i="14"/>
  <c r="B470" i="14" s="1"/>
  <c r="B471" i="14" s="1"/>
  <c r="B162" i="18"/>
  <c r="B264" i="18"/>
  <c r="B170" i="18"/>
  <c r="B205" i="18"/>
  <c r="B206" i="18" s="1"/>
  <c r="B207" i="18" s="1"/>
  <c r="B199" i="18"/>
  <c r="B200" i="18" s="1"/>
  <c r="B258" i="18"/>
  <c r="B166" i="18"/>
  <c r="B71" i="18"/>
  <c r="B72" i="18" s="1"/>
  <c r="B73" i="18" s="1"/>
  <c r="B261" i="16"/>
  <c r="B262" i="16" s="1"/>
  <c r="B263" i="16" s="1"/>
  <c r="B264" i="16" s="1"/>
  <c r="B80" i="18"/>
  <c r="B133" i="18"/>
  <c r="B360" i="17"/>
  <c r="B361" i="17" s="1"/>
  <c r="B362" i="17" s="1"/>
  <c r="B448" i="16"/>
  <c r="B449" i="16" s="1"/>
  <c r="B450" i="16" s="1"/>
  <c r="B820" i="14"/>
  <c r="B813" i="14"/>
  <c r="B814" i="14" s="1"/>
  <c r="B815" i="14" s="1"/>
  <c r="B816" i="14" s="1"/>
  <c r="B817" i="14" s="1"/>
  <c r="B818" i="14" s="1"/>
  <c r="B819" i="14" s="1"/>
  <c r="B586" i="14"/>
  <c r="B40" i="11"/>
  <c r="B41" i="11" s="1"/>
  <c r="B160" i="11"/>
  <c r="B79" i="11"/>
  <c r="B240" i="18"/>
  <c r="B245" i="18"/>
  <c r="B246" i="18" s="1"/>
  <c r="B235" i="18"/>
  <c r="B242" i="16"/>
  <c r="B243" i="16" s="1"/>
  <c r="B405" i="17"/>
  <c r="B406" i="17" s="1"/>
  <c r="B407" i="17" s="1"/>
  <c r="B408" i="17" s="1"/>
  <c r="B660" i="14"/>
  <c r="B346" i="16"/>
  <c r="B347" i="16" s="1"/>
  <c r="B348" i="16" s="1"/>
  <c r="B349" i="16" s="1"/>
  <c r="B160" i="18"/>
  <c r="B215" i="18"/>
  <c r="B604" i="17"/>
  <c r="B605" i="17" s="1"/>
  <c r="B606" i="17" s="1"/>
  <c r="B75" i="11"/>
  <c r="B225" i="17"/>
  <c r="B226" i="17" s="1"/>
  <c r="B227" i="17" s="1"/>
  <c r="B228" i="17" s="1"/>
  <c r="B229" i="17" s="1"/>
  <c r="B230" i="17" s="1"/>
  <c r="B702" i="14"/>
  <c r="B825" i="14"/>
  <c r="B441" i="15"/>
  <c r="B61" i="11"/>
  <c r="B140" i="17"/>
  <c r="B469" i="16"/>
  <c r="B500" i="16"/>
  <c r="B501" i="16" s="1"/>
  <c r="B502" i="16" s="1"/>
  <c r="B429" i="17"/>
  <c r="B489" i="17"/>
  <c r="B490" i="17" s="1"/>
  <c r="B491" i="17" s="1"/>
  <c r="B614" i="16"/>
  <c r="B615" i="16" s="1"/>
  <c r="B70" i="11"/>
  <c r="B197" i="16"/>
  <c r="B419" i="17"/>
  <c r="B420" i="17" s="1"/>
  <c r="B421" i="17" s="1"/>
  <c r="B422" i="17" s="1"/>
  <c r="B636" i="14"/>
  <c r="B477" i="16"/>
  <c r="B492" i="16"/>
  <c r="B544" i="16"/>
  <c r="B474" i="17"/>
  <c r="B68" i="11"/>
  <c r="B79" i="18"/>
  <c r="B109" i="18"/>
  <c r="B110" i="18" s="1"/>
  <c r="B119" i="18"/>
  <c r="B120" i="18" s="1"/>
  <c r="B501" i="17"/>
  <c r="B502" i="17" s="1"/>
  <c r="B503" i="17" s="1"/>
  <c r="B560" i="16"/>
  <c r="B561" i="16" s="1"/>
  <c r="B562" i="16" s="1"/>
  <c r="B215" i="14"/>
  <c r="B123" i="11"/>
  <c r="B149" i="11"/>
  <c r="B451" i="16"/>
  <c r="B452" i="16" s="1"/>
  <c r="B453" i="16" s="1"/>
  <c r="B454" i="16" s="1"/>
  <c r="B455" i="16" s="1"/>
  <c r="B171" i="16"/>
  <c r="B172" i="16" s="1"/>
  <c r="B173" i="16" s="1"/>
  <c r="B174" i="16" s="1"/>
  <c r="B175" i="16" s="1"/>
  <c r="B520" i="17"/>
  <c r="B652" i="14"/>
  <c r="B653" i="14" s="1"/>
  <c r="B654" i="14" s="1"/>
  <c r="B438" i="16"/>
  <c r="B549" i="16"/>
  <c r="B550" i="16" s="1"/>
  <c r="B551" i="16" s="1"/>
  <c r="B552" i="16" s="1"/>
  <c r="B553" i="16" s="1"/>
  <c r="B129" i="11"/>
  <c r="B95" i="11"/>
  <c r="B237" i="17"/>
  <c r="B238" i="17" s="1"/>
  <c r="B239" i="17" s="1"/>
  <c r="B240" i="17" s="1"/>
  <c r="B241" i="17" s="1"/>
  <c r="B242" i="17"/>
  <c r="B243" i="17" s="1"/>
  <c r="B244" i="17" s="1"/>
  <c r="B341" i="17"/>
  <c r="B342" i="17" s="1"/>
  <c r="B343" i="17" s="1"/>
  <c r="B353" i="17"/>
  <c r="B354" i="17" s="1"/>
  <c r="B355" i="17" s="1"/>
  <c r="B356" i="17" s="1"/>
  <c r="B357" i="17" s="1"/>
  <c r="B358" i="17" s="1"/>
  <c r="B456" i="16"/>
  <c r="B457" i="16" s="1"/>
  <c r="B458" i="16" s="1"/>
  <c r="B459" i="16" s="1"/>
  <c r="B460" i="16" s="1"/>
  <c r="B423" i="17"/>
  <c r="B424" i="17" s="1"/>
  <c r="B425" i="17" s="1"/>
  <c r="B426" i="17" s="1"/>
  <c r="B427" i="17" s="1"/>
  <c r="B428" i="17" s="1"/>
  <c r="B503" i="16"/>
  <c r="B504" i="16" s="1"/>
  <c r="B505" i="16" s="1"/>
  <c r="B529" i="16"/>
  <c r="B530" i="16" s="1"/>
  <c r="B769" i="14"/>
  <c r="B770" i="14" s="1"/>
  <c r="B771" i="14" s="1"/>
  <c r="B661" i="14"/>
  <c r="B662" i="14" s="1"/>
  <c r="B663" i="14" s="1"/>
  <c r="B664" i="14" s="1"/>
  <c r="B187" i="15"/>
  <c r="B287" i="15"/>
  <c r="B373" i="17"/>
  <c r="B374" i="17" s="1"/>
  <c r="B100" i="16"/>
  <c r="B101" i="16" s="1"/>
  <c r="B78" i="17"/>
  <c r="B79" i="17" s="1"/>
  <c r="B44" i="18"/>
  <c r="B45" i="18" s="1"/>
  <c r="B46" i="18" s="1"/>
  <c r="B47" i="18" s="1"/>
  <c r="B245" i="17"/>
  <c r="B246" i="17" s="1"/>
  <c r="B247" i="17" s="1"/>
  <c r="B248" i="17" s="1"/>
  <c r="B33" i="18"/>
  <c r="B34" i="18" s="1"/>
  <c r="B314" i="17"/>
  <c r="B315" i="17" s="1"/>
  <c r="B316" i="17" s="1"/>
  <c r="B317" i="17" s="1"/>
  <c r="B392" i="17"/>
  <c r="B393" i="17" s="1"/>
  <c r="B394" i="17" s="1"/>
  <c r="B387" i="16"/>
  <c r="B388" i="16" s="1"/>
  <c r="B396" i="17"/>
  <c r="B397" i="17" s="1"/>
  <c r="B398" i="17" s="1"/>
  <c r="B399" i="17" s="1"/>
  <c r="B400" i="17" s="1"/>
  <c r="B461" i="16"/>
  <c r="B462" i="16" s="1"/>
  <c r="B463" i="16" s="1"/>
  <c r="B571" i="17"/>
  <c r="B572" i="17" s="1"/>
  <c r="B573" i="17" s="1"/>
  <c r="B556" i="16"/>
  <c r="B557" i="16" s="1"/>
  <c r="B558" i="16" s="1"/>
  <c r="B555" i="16"/>
  <c r="B530" i="17"/>
  <c r="B531" i="17" s="1"/>
  <c r="B532" i="17" s="1"/>
  <c r="B247" i="14"/>
  <c r="B248" i="14" s="1"/>
  <c r="B249" i="14" s="1"/>
  <c r="B250" i="14" s="1"/>
  <c r="B624" i="14"/>
  <c r="B625" i="14" s="1"/>
  <c r="B626" i="14" s="1"/>
  <c r="B627" i="14" s="1"/>
  <c r="B628" i="14" s="1"/>
  <c r="B629" i="14" s="1"/>
  <c r="B993" i="14"/>
  <c r="B542" i="14"/>
  <c r="B543" i="14" s="1"/>
  <c r="B544" i="14" s="1"/>
  <c r="B545" i="14" s="1"/>
  <c r="B546" i="14" s="1"/>
  <c r="B547" i="14" s="1"/>
  <c r="B565" i="17"/>
  <c r="B566" i="17" s="1"/>
  <c r="B567" i="17" s="1"/>
  <c r="B734" i="14"/>
  <c r="B735" i="14" s="1"/>
  <c r="B736" i="14" s="1"/>
  <c r="B737" i="14" s="1"/>
  <c r="B738" i="14" s="1"/>
  <c r="B739" i="14" s="1"/>
  <c r="B318" i="15"/>
  <c r="B319" i="15" s="1"/>
  <c r="B391" i="15"/>
  <c r="B392" i="15" s="1"/>
  <c r="B393" i="15" s="1"/>
  <c r="B394" i="15" s="1"/>
  <c r="B395" i="15" s="1"/>
  <c r="B396" i="15" s="1"/>
  <c r="B151" i="15"/>
  <c r="B338" i="17"/>
  <c r="B339" i="17" s="1"/>
  <c r="B340" i="17" s="1"/>
  <c r="B52" i="11"/>
  <c r="B58" i="11"/>
  <c r="B27" i="11"/>
  <c r="B87" i="11"/>
  <c r="B76" i="18"/>
  <c r="B48" i="11"/>
  <c r="B49" i="11" s="1"/>
  <c r="B30" i="11"/>
  <c r="B354" i="16"/>
  <c r="B355" i="16" s="1"/>
  <c r="B356" i="16" s="1"/>
  <c r="B357" i="16" s="1"/>
  <c r="B358" i="16" s="1"/>
  <c r="B310" i="17"/>
  <c r="B311" i="17" s="1"/>
  <c r="B312" i="17" s="1"/>
  <c r="B313" i="17" s="1"/>
  <c r="B561" i="14"/>
  <c r="B63" i="11"/>
  <c r="B184" i="18"/>
  <c r="B269" i="18"/>
  <c r="B537" i="16"/>
  <c r="B538" i="16" s="1"/>
  <c r="B117" i="17"/>
  <c r="B118" i="17" s="1"/>
  <c r="B119" i="17" s="1"/>
  <c r="B120" i="17" s="1"/>
  <c r="B87" i="17"/>
  <c r="B88" i="17" s="1"/>
  <c r="B151" i="16"/>
  <c r="B272" i="16"/>
  <c r="B273" i="16" s="1"/>
  <c r="B274" i="16" s="1"/>
  <c r="B275" i="16" s="1"/>
  <c r="B381" i="17"/>
  <c r="B382" i="17" s="1"/>
  <c r="B383" i="17" s="1"/>
  <c r="B384" i="17" s="1"/>
  <c r="B385" i="17" s="1"/>
  <c r="B386" i="17" s="1"/>
  <c r="B278" i="17"/>
  <c r="B279" i="17" s="1"/>
  <c r="B280" i="17" s="1"/>
  <c r="B281" i="17" s="1"/>
  <c r="B282" i="17" s="1"/>
  <c r="B283" i="17" s="1"/>
  <c r="B448" i="17"/>
  <c r="B449" i="17" s="1"/>
  <c r="B450" i="17" s="1"/>
  <c r="B451" i="17" s="1"/>
  <c r="B452" i="17" s="1"/>
  <c r="B527" i="16"/>
  <c r="B528" i="16" s="1"/>
  <c r="B568" i="16"/>
  <c r="B569" i="16" s="1"/>
  <c r="B570" i="16" s="1"/>
  <c r="B571" i="16" s="1"/>
  <c r="B572" i="16" s="1"/>
  <c r="B965" i="14"/>
  <c r="B966" i="14" s="1"/>
  <c r="B967" i="14" s="1"/>
  <c r="B968" i="14" s="1"/>
  <c r="B152" i="14"/>
  <c r="B153" i="14" s="1"/>
  <c r="B154" i="14" s="1"/>
  <c r="B155" i="14" s="1"/>
  <c r="B156" i="14" s="1"/>
  <c r="B448" i="14"/>
  <c r="B449" i="14" s="1"/>
  <c r="B450" i="14" s="1"/>
  <c r="B451" i="14" s="1"/>
  <c r="B452" i="14" s="1"/>
  <c r="B453" i="14" s="1"/>
  <c r="B454" i="14" s="1"/>
  <c r="B772" i="14"/>
  <c r="B773" i="14" s="1"/>
  <c r="B826" i="14"/>
  <c r="B827" i="14" s="1"/>
  <c r="B828" i="14" s="1"/>
  <c r="B829" i="14" s="1"/>
  <c r="B830" i="14" s="1"/>
  <c r="B785" i="14"/>
  <c r="B786" i="14" s="1"/>
  <c r="B787" i="14" s="1"/>
  <c r="B788" i="14" s="1"/>
  <c r="B789" i="14" s="1"/>
  <c r="B790" i="14" s="1"/>
  <c r="B791" i="14" s="1"/>
  <c r="B821" i="14"/>
  <c r="B822" i="14" s="1"/>
  <c r="B823" i="14" s="1"/>
  <c r="B824" i="14" s="1"/>
  <c r="B344" i="17"/>
  <c r="B345" i="17" s="1"/>
  <c r="B346" i="17" s="1"/>
  <c r="B56" i="18"/>
  <c r="B57" i="18" s="1"/>
  <c r="B164" i="17"/>
  <c r="B74" i="17"/>
  <c r="B315" i="16"/>
  <c r="B316" i="16" s="1"/>
  <c r="B317" i="16" s="1"/>
  <c r="B318" i="16" s="1"/>
  <c r="B319" i="16"/>
  <c r="B440" i="16"/>
  <c r="B441" i="16" s="1"/>
  <c r="B442" i="16" s="1"/>
  <c r="B443" i="16" s="1"/>
  <c r="B444" i="16" s="1"/>
  <c r="B666" i="16"/>
  <c r="B667" i="16" s="1"/>
  <c r="B668" i="16" s="1"/>
  <c r="B533" i="17"/>
  <c r="B534" i="17" s="1"/>
  <c r="B535" i="17" s="1"/>
  <c r="B809" i="14"/>
  <c r="B810" i="14" s="1"/>
  <c r="B811" i="14" s="1"/>
  <c r="B812" i="14" s="1"/>
  <c r="B637" i="14"/>
  <c r="B638" i="14" s="1"/>
  <c r="B639" i="14" s="1"/>
  <c r="B235" i="16"/>
  <c r="B236" i="16" s="1"/>
  <c r="B237" i="16" s="1"/>
  <c r="B238" i="16" s="1"/>
  <c r="B221" i="17"/>
  <c r="B222" i="17" s="1"/>
  <c r="B78" i="18"/>
  <c r="B75" i="18"/>
  <c r="B464" i="16"/>
  <c r="B465" i="16" s="1"/>
  <c r="B466" i="16" s="1"/>
  <c r="B467" i="16" s="1"/>
  <c r="B468" i="16" s="1"/>
  <c r="B464" i="17"/>
  <c r="B465" i="17" s="1"/>
  <c r="B496" i="17"/>
  <c r="B475" i="17"/>
  <c r="B476" i="17" s="1"/>
  <c r="B623" i="16"/>
  <c r="B624" i="16" s="1"/>
  <c r="B425" i="14"/>
  <c r="B426" i="14" s="1"/>
  <c r="B427" i="14" s="1"/>
  <c r="B428" i="14" s="1"/>
  <c r="B429" i="14" s="1"/>
  <c r="B430" i="14" s="1"/>
  <c r="B674" i="14"/>
  <c r="B675" i="14" s="1"/>
  <c r="B676" i="14" s="1"/>
  <c r="B677" i="14" s="1"/>
  <c r="B645" i="17"/>
  <c r="B646" i="17" s="1"/>
  <c r="B647" i="17" s="1"/>
  <c r="B648" i="17" s="1"/>
  <c r="B649" i="17" s="1"/>
  <c r="B650" i="17" s="1"/>
  <c r="B651" i="17" s="1"/>
  <c r="B69" i="18"/>
  <c r="B70" i="18" s="1"/>
  <c r="B367" i="16"/>
  <c r="B368" i="16" s="1"/>
  <c r="B539" i="16"/>
  <c r="B540" i="16" s="1"/>
  <c r="B541" i="16" s="1"/>
  <c r="B542" i="16" s="1"/>
  <c r="B543" i="16" s="1"/>
  <c r="B553" i="17"/>
  <c r="B554" i="17" s="1"/>
  <c r="B555" i="17" s="1"/>
  <c r="B556" i="17" s="1"/>
  <c r="B557" i="17" s="1"/>
  <c r="B558" i="17" s="1"/>
  <c r="B545" i="17"/>
  <c r="B546" i="17" s="1"/>
  <c r="B547" i="17" s="1"/>
  <c r="B548" i="17" s="1"/>
  <c r="B549" i="17" s="1"/>
  <c r="B550" i="17" s="1"/>
  <c r="B625" i="17"/>
  <c r="B626" i="17" s="1"/>
  <c r="B627" i="17" s="1"/>
  <c r="B364" i="14"/>
  <c r="B365" i="14" s="1"/>
  <c r="B366" i="14" s="1"/>
  <c r="B367" i="14" s="1"/>
  <c r="B368" i="14" s="1"/>
  <c r="B251" i="14"/>
  <c r="B252" i="14" s="1"/>
  <c r="B253" i="14" s="1"/>
  <c r="B254" i="14" s="1"/>
  <c r="B255" i="14" s="1"/>
  <c r="B256" i="14" s="1"/>
  <c r="B178" i="14"/>
  <c r="B179" i="14" s="1"/>
  <c r="B180" i="14" s="1"/>
  <c r="B181" i="14" s="1"/>
  <c r="B182" i="14" s="1"/>
  <c r="B641" i="14"/>
  <c r="B642" i="14" s="1"/>
  <c r="B643" i="14" s="1"/>
  <c r="B644" i="14" s="1"/>
  <c r="B388" i="14"/>
  <c r="B389" i="14" s="1"/>
  <c r="B390" i="14" s="1"/>
  <c r="B391" i="14" s="1"/>
  <c r="B392" i="14" s="1"/>
  <c r="B375" i="14"/>
  <c r="B376" i="14" s="1"/>
  <c r="B377" i="14" s="1"/>
  <c r="B378" i="14" s="1"/>
  <c r="B379" i="14" s="1"/>
  <c r="B380" i="14" s="1"/>
  <c r="B112" i="17"/>
  <c r="B156" i="17"/>
  <c r="B157" i="17" s="1"/>
  <c r="B158" i="17" s="1"/>
  <c r="B159" i="17" s="1"/>
  <c r="B160" i="17" s="1"/>
  <c r="B161" i="17" s="1"/>
  <c r="B162" i="17" s="1"/>
  <c r="B143" i="17"/>
  <c r="B144" i="17" s="1"/>
  <c r="B145" i="17" s="1"/>
  <c r="B113" i="18"/>
  <c r="B114" i="16"/>
  <c r="B115" i="16" s="1"/>
  <c r="B116" i="16" s="1"/>
  <c r="B117" i="16" s="1"/>
  <c r="B132" i="17"/>
  <c r="B133" i="17" s="1"/>
  <c r="B134" i="17" s="1"/>
  <c r="B135" i="17" s="1"/>
  <c r="B136" i="17" s="1"/>
  <c r="B77" i="18"/>
  <c r="B275" i="17"/>
  <c r="B276" i="17" s="1"/>
  <c r="B212" i="16"/>
  <c r="B213" i="16" s="1"/>
  <c r="B214" i="16" s="1"/>
  <c r="B415" i="17"/>
  <c r="B416" i="17" s="1"/>
  <c r="B417" i="17" s="1"/>
  <c r="B418" i="17" s="1"/>
  <c r="B446" i="17"/>
  <c r="B495" i="16"/>
  <c r="B496" i="16" s="1"/>
  <c r="B497" i="16" s="1"/>
  <c r="B498" i="16" s="1"/>
  <c r="B499" i="16" s="1"/>
  <c r="B531" i="16"/>
  <c r="B532" i="16" s="1"/>
  <c r="B533" i="16" s="1"/>
  <c r="B534" i="16" s="1"/>
  <c r="B535" i="16" s="1"/>
  <c r="B610" i="16"/>
  <c r="B611" i="16" s="1"/>
  <c r="B612" i="16" s="1"/>
  <c r="B613" i="16" s="1"/>
  <c r="B508" i="17"/>
  <c r="B509" i="17" s="1"/>
  <c r="B510" i="17" s="1"/>
  <c r="B563" i="16"/>
  <c r="B564" i="16" s="1"/>
  <c r="B565" i="16" s="1"/>
  <c r="B566" i="16" s="1"/>
  <c r="B567" i="16" s="1"/>
  <c r="B883" i="14"/>
  <c r="B884" i="14" s="1"/>
  <c r="B885" i="14" s="1"/>
  <c r="B886" i="14" s="1"/>
  <c r="B656" i="14"/>
  <c r="B657" i="14" s="1"/>
  <c r="B658" i="14" s="1"/>
  <c r="B659" i="14" s="1"/>
  <c r="B369" i="14"/>
  <c r="B370" i="14" s="1"/>
  <c r="B371" i="14" s="1"/>
  <c r="B372" i="14" s="1"/>
  <c r="B373" i="14" s="1"/>
  <c r="B374" i="14" s="1"/>
  <c r="B652" i="17"/>
  <c r="B653" i="17" s="1"/>
  <c r="B654" i="17" s="1"/>
  <c r="B655" i="17" s="1"/>
  <c r="B185" i="14"/>
  <c r="B186" i="14" s="1"/>
  <c r="B187" i="14" s="1"/>
  <c r="B194" i="14"/>
  <c r="B195" i="14" s="1"/>
  <c r="B196" i="14" s="1"/>
  <c r="B197" i="14" s="1"/>
  <c r="B562" i="14"/>
  <c r="B563" i="14" s="1"/>
  <c r="B564" i="14" s="1"/>
  <c r="B565" i="14" s="1"/>
  <c r="B566" i="14" s="1"/>
  <c r="B567" i="14" s="1"/>
  <c r="B602" i="17"/>
  <c r="B603" i="17" s="1"/>
  <c r="B62" i="18"/>
  <c r="B63" i="18" s="1"/>
  <c r="B111" i="18"/>
  <c r="B112" i="18" s="1"/>
  <c r="B562" i="17"/>
  <c r="B563" i="17" s="1"/>
  <c r="B564" i="17" s="1"/>
  <c r="B137" i="17"/>
  <c r="B138" i="17" s="1"/>
  <c r="B139" i="17" s="1"/>
  <c r="B121" i="17"/>
  <c r="B122" i="17" s="1"/>
  <c r="B123" i="17" s="1"/>
  <c r="B124" i="17" s="1"/>
  <c r="B202" i="16"/>
  <c r="B203" i="16" s="1"/>
  <c r="B204" i="16" s="1"/>
  <c r="B205" i="16" s="1"/>
  <c r="B206" i="16" s="1"/>
  <c r="B207" i="16" s="1"/>
  <c r="B163" i="16"/>
  <c r="B164" i="16" s="1"/>
  <c r="B165" i="16" s="1"/>
  <c r="B166" i="16" s="1"/>
  <c r="B298" i="17"/>
  <c r="B299" i="17" s="1"/>
  <c r="B300" i="17" s="1"/>
  <c r="B127" i="18"/>
  <c r="B128" i="18" s="1"/>
  <c r="B286" i="16"/>
  <c r="B287" i="16" s="1"/>
  <c r="B288" i="16" s="1"/>
  <c r="B289" i="16" s="1"/>
  <c r="B290" i="16" s="1"/>
  <c r="B340" i="16"/>
  <c r="B341" i="16" s="1"/>
  <c r="B342" i="16" s="1"/>
  <c r="B343" i="16" s="1"/>
  <c r="B408" i="16"/>
  <c r="B409" i="16" s="1"/>
  <c r="B410" i="16" s="1"/>
  <c r="B401" i="17"/>
  <c r="B402" i="17" s="1"/>
  <c r="B403" i="17" s="1"/>
  <c r="B404" i="17" s="1"/>
  <c r="B446" i="16"/>
  <c r="B447" i="16" s="1"/>
  <c r="B493" i="16"/>
  <c r="B494" i="16" s="1"/>
  <c r="B453" i="17"/>
  <c r="B454" i="17" s="1"/>
  <c r="B455" i="17" s="1"/>
  <c r="B456" i="17" s="1"/>
  <c r="B513" i="16"/>
  <c r="B514" i="16" s="1"/>
  <c r="B515" i="16" s="1"/>
  <c r="B516" i="16" s="1"/>
  <c r="B504" i="17"/>
  <c r="B568" i="17"/>
  <c r="B569" i="17" s="1"/>
  <c r="B570" i="17" s="1"/>
  <c r="B942" i="14"/>
  <c r="B943" i="14" s="1"/>
  <c r="B944" i="14" s="1"/>
  <c r="B945" i="14" s="1"/>
  <c r="B239" i="14"/>
  <c r="B240" i="14" s="1"/>
  <c r="B241" i="14" s="1"/>
  <c r="B242" i="14" s="1"/>
  <c r="B243" i="14" s="1"/>
  <c r="B244" i="14" s="1"/>
  <c r="B994" i="14"/>
  <c r="B995" i="14" s="1"/>
  <c r="B996" i="14" s="1"/>
  <c r="B997" i="14" s="1"/>
  <c r="B998" i="14" s="1"/>
  <c r="B740" i="14"/>
  <c r="B741" i="14" s="1"/>
  <c r="B742" i="14" s="1"/>
  <c r="B743" i="14" s="1"/>
  <c r="B744" i="14" s="1"/>
  <c r="B745" i="14" s="1"/>
  <c r="B746" i="14" s="1"/>
  <c r="B198" i="16"/>
  <c r="B199" i="16" s="1"/>
  <c r="B200" i="16" s="1"/>
  <c r="B141" i="17"/>
  <c r="B142" i="17" s="1"/>
  <c r="B146" i="17"/>
  <c r="B147" i="17" s="1"/>
  <c r="B148" i="17" s="1"/>
  <c r="B167" i="16"/>
  <c r="B168" i="16" s="1"/>
  <c r="B169" i="16" s="1"/>
  <c r="B170" i="16" s="1"/>
  <c r="B97" i="17"/>
  <c r="B98" i="17" s="1"/>
  <c r="B99" i="17" s="1"/>
  <c r="B100" i="17" s="1"/>
  <c r="B189" i="16"/>
  <c r="B190" i="16" s="1"/>
  <c r="B191" i="16" s="1"/>
  <c r="B192" i="16" s="1"/>
  <c r="B193" i="16" s="1"/>
  <c r="B194" i="16" s="1"/>
  <c r="B391" i="17"/>
  <c r="B291" i="16"/>
  <c r="B292" i="16" s="1"/>
  <c r="B293" i="16" s="1"/>
  <c r="B294" i="16" s="1"/>
  <c r="B223" i="17"/>
  <c r="B224" i="17" s="1"/>
  <c r="B276" i="16"/>
  <c r="B277" i="16" s="1"/>
  <c r="B278" i="16" s="1"/>
  <c r="B279" i="16" s="1"/>
  <c r="B280" i="16" s="1"/>
  <c r="B284" i="17"/>
  <c r="B285" i="17" s="1"/>
  <c r="B286" i="17" s="1"/>
  <c r="B359" i="16"/>
  <c r="B360" i="16" s="1"/>
  <c r="B361" i="16" s="1"/>
  <c r="B362" i="16" s="1"/>
  <c r="B363" i="16" s="1"/>
  <c r="B364" i="16" s="1"/>
  <c r="B409" i="17"/>
  <c r="B410" i="17" s="1"/>
  <c r="B411" i="17" s="1"/>
  <c r="B412" i="17" s="1"/>
  <c r="B413" i="17" s="1"/>
  <c r="B414" i="17" s="1"/>
  <c r="B478" i="16"/>
  <c r="B479" i="16" s="1"/>
  <c r="B458" i="17"/>
  <c r="B459" i="17" s="1"/>
  <c r="B460" i="17" s="1"/>
  <c r="B461" i="17" s="1"/>
  <c r="B462" i="17" s="1"/>
  <c r="B492" i="17"/>
  <c r="B493" i="17" s="1"/>
  <c r="B494" i="17" s="1"/>
  <c r="B582" i="17"/>
  <c r="B583" i="17" s="1"/>
  <c r="B584" i="17" s="1"/>
  <c r="B585" i="17" s="1"/>
  <c r="B586" i="17" s="1"/>
  <c r="B587" i="17" s="1"/>
  <c r="B588" i="17" s="1"/>
  <c r="B589" i="17" s="1"/>
  <c r="B590" i="17" s="1"/>
  <c r="B586" i="16"/>
  <c r="B587" i="16" s="1"/>
  <c r="B588" i="16" s="1"/>
  <c r="B589" i="16" s="1"/>
  <c r="B590" i="16" s="1"/>
  <c r="B521" i="17"/>
  <c r="B522" i="17" s="1"/>
  <c r="B523" i="17" s="1"/>
  <c r="B524" i="17" s="1"/>
  <c r="B525" i="17" s="1"/>
  <c r="B526" i="17" s="1"/>
  <c r="B131" i="14"/>
  <c r="B132" i="14" s="1"/>
  <c r="B133" i="14" s="1"/>
  <c r="B134" i="14" s="1"/>
  <c r="B799" i="14"/>
  <c r="B800" i="14" s="1"/>
  <c r="B801" i="14" s="1"/>
  <c r="B802" i="14" s="1"/>
  <c r="B724" i="14"/>
  <c r="B725" i="14" s="1"/>
  <c r="B726" i="14" s="1"/>
  <c r="B727" i="14" s="1"/>
  <c r="B728" i="14" s="1"/>
  <c r="B497" i="17"/>
  <c r="B498" i="17" s="1"/>
  <c r="B499" i="17" s="1"/>
  <c r="B500" i="17" s="1"/>
  <c r="B88" i="18"/>
  <c r="B262" i="17"/>
  <c r="B263" i="17" s="1"/>
  <c r="B264" i="17" s="1"/>
  <c r="B265" i="17" s="1"/>
  <c r="B83" i="16"/>
  <c r="B84" i="16" s="1"/>
  <c r="B85" i="16" s="1"/>
  <c r="B86" i="16" s="1"/>
  <c r="B268" i="16"/>
  <c r="B269" i="16" s="1"/>
  <c r="B270" i="16" s="1"/>
  <c r="B255" i="16"/>
  <c r="B256" i="16" s="1"/>
  <c r="B257" i="16" s="1"/>
  <c r="B258" i="16" s="1"/>
  <c r="B259" i="16" s="1"/>
  <c r="B260" i="16" s="1"/>
  <c r="B87" i="16"/>
  <c r="B88" i="16" s="1"/>
  <c r="B89" i="16" s="1"/>
  <c r="B90" i="16" s="1"/>
  <c r="B91" i="16" s="1"/>
  <c r="B92" i="16" s="1"/>
  <c r="B231" i="17"/>
  <c r="B232" i="17" s="1"/>
  <c r="B233" i="17" s="1"/>
  <c r="B234" i="17" s="1"/>
  <c r="B235" i="17" s="1"/>
  <c r="B236" i="17" s="1"/>
  <c r="B137" i="18"/>
  <c r="B138" i="18" s="1"/>
  <c r="B337" i="17"/>
  <c r="B445" i="16"/>
  <c r="B470" i="16"/>
  <c r="B471" i="16" s="1"/>
  <c r="B472" i="16" s="1"/>
  <c r="B473" i="16" s="1"/>
  <c r="B430" i="17"/>
  <c r="B431" i="17" s="1"/>
  <c r="B432" i="17" s="1"/>
  <c r="B474" i="16"/>
  <c r="B475" i="16" s="1"/>
  <c r="B476" i="16" s="1"/>
  <c r="B486" i="17"/>
  <c r="B487" i="17" s="1"/>
  <c r="B488" i="17" s="1"/>
  <c r="B514" i="17"/>
  <c r="B515" i="17" s="1"/>
  <c r="B516" i="17" s="1"/>
  <c r="B517" i="17" s="1"/>
  <c r="B518" i="17" s="1"/>
  <c r="B519" i="17" s="1"/>
  <c r="B511" i="17"/>
  <c r="B512" i="17" s="1"/>
  <c r="B513" i="17" s="1"/>
  <c r="B916" i="14"/>
  <c r="B917" i="14" s="1"/>
  <c r="B918" i="14" s="1"/>
  <c r="B919" i="14" s="1"/>
  <c r="B920" i="14" s="1"/>
  <c r="B630" i="14"/>
  <c r="B631" i="14" s="1"/>
  <c r="B632" i="14" s="1"/>
  <c r="B633" i="14" s="1"/>
  <c r="B634" i="14" s="1"/>
  <c r="B598" i="17"/>
  <c r="B599" i="17" s="1"/>
  <c r="B600" i="17" s="1"/>
  <c r="B852" i="14"/>
  <c r="B853" i="14" s="1"/>
  <c r="B854" i="14" s="1"/>
  <c r="B855" i="14" s="1"/>
  <c r="B389" i="16"/>
  <c r="B390" i="16" s="1"/>
  <c r="B391" i="16" s="1"/>
  <c r="B392" i="16" s="1"/>
  <c r="B338" i="14"/>
  <c r="B339" i="14" s="1"/>
  <c r="B340" i="14" s="1"/>
  <c r="B341" i="14" s="1"/>
  <c r="B342" i="14" s="1"/>
  <c r="B125" i="18"/>
  <c r="B126" i="18" s="1"/>
  <c r="B158" i="18"/>
  <c r="B159" i="18" s="1"/>
  <c r="B703" i="14"/>
  <c r="B704" i="14" s="1"/>
  <c r="B705" i="14" s="1"/>
  <c r="B706" i="14" s="1"/>
  <c r="B707" i="14" s="1"/>
  <c r="B708" i="14" s="1"/>
  <c r="B176" i="16"/>
  <c r="B177" i="16" s="1"/>
  <c r="B178" i="16" s="1"/>
  <c r="B179" i="16" s="1"/>
  <c r="B152" i="16"/>
  <c r="B265" i="16"/>
  <c r="B266" i="16" s="1"/>
  <c r="B130" i="16"/>
  <c r="B131" i="16" s="1"/>
  <c r="B132" i="16" s="1"/>
  <c r="B133" i="16" s="1"/>
  <c r="B134" i="16" s="1"/>
  <c r="B135" i="16" s="1"/>
  <c r="B165" i="17"/>
  <c r="B166" i="17" s="1"/>
  <c r="B167" i="17" s="1"/>
  <c r="B168" i="17" s="1"/>
  <c r="B115" i="18"/>
  <c r="B116" i="18" s="1"/>
  <c r="B130" i="18"/>
  <c r="B131" i="18" s="1"/>
  <c r="B281" i="16"/>
  <c r="B282" i="16" s="1"/>
  <c r="B283" i="16" s="1"/>
  <c r="B284" i="16" s="1"/>
  <c r="B285" i="16" s="1"/>
  <c r="B117" i="18"/>
  <c r="B118" i="18" s="1"/>
  <c r="B336" i="16"/>
  <c r="B337" i="16" s="1"/>
  <c r="B338" i="16" s="1"/>
  <c r="B339" i="16" s="1"/>
  <c r="B363" i="17"/>
  <c r="B364" i="17" s="1"/>
  <c r="B365" i="17" s="1"/>
  <c r="B387" i="17"/>
  <c r="B388" i="17" s="1"/>
  <c r="B389" i="17" s="1"/>
  <c r="B390" i="17" s="1"/>
  <c r="B439" i="16"/>
  <c r="B506" i="17"/>
  <c r="B507" i="17" s="1"/>
  <c r="B527" i="17"/>
  <c r="B528" i="17" s="1"/>
  <c r="B529" i="17" s="1"/>
  <c r="B234" i="14"/>
  <c r="B235" i="14" s="1"/>
  <c r="B236" i="14" s="1"/>
  <c r="B237" i="14" s="1"/>
  <c r="B238" i="14" s="1"/>
  <c r="B665" i="14"/>
  <c r="B666" i="14" s="1"/>
  <c r="B667" i="14" s="1"/>
  <c r="B668" i="14" s="1"/>
  <c r="B669" i="14" s="1"/>
  <c r="B670" i="14" s="1"/>
  <c r="B671" i="14" s="1"/>
  <c r="B672" i="14" s="1"/>
  <c r="B841" i="14"/>
  <c r="B842" i="14" s="1"/>
  <c r="B843" i="14" s="1"/>
  <c r="B844" i="14" s="1"/>
  <c r="B845" i="14" s="1"/>
  <c r="B309" i="16"/>
  <c r="B310" i="16" s="1"/>
  <c r="B311" i="16" s="1"/>
  <c r="B312" i="16" s="1"/>
  <c r="B313" i="16" s="1"/>
  <c r="B314" i="16" s="1"/>
  <c r="B60" i="18"/>
  <c r="B61" i="18" s="1"/>
  <c r="B224" i="15"/>
  <c r="B225" i="15" s="1"/>
  <c r="B226" i="15" s="1"/>
  <c r="B227" i="15" s="1"/>
  <c r="B228" i="15" s="1"/>
  <c r="B229" i="15" s="1"/>
  <c r="B230" i="15" s="1"/>
  <c r="B493" i="15"/>
  <c r="B494" i="15" s="1"/>
  <c r="B220" i="17"/>
  <c r="B276" i="15"/>
  <c r="B980" i="14"/>
  <c r="B981" i="14" s="1"/>
  <c r="B982" i="14" s="1"/>
  <c r="B983" i="14" s="1"/>
  <c r="B984" i="14" s="1"/>
  <c r="B985" i="14" s="1"/>
  <c r="B986" i="14" s="1"/>
  <c r="B987" i="14" s="1"/>
  <c r="B597" i="17"/>
  <c r="B533" i="14"/>
  <c r="B534" i="14" s="1"/>
  <c r="B535" i="14" s="1"/>
  <c r="B536" i="14" s="1"/>
  <c r="B223" i="16"/>
  <c r="B224" i="16" s="1"/>
  <c r="B225" i="16" s="1"/>
  <c r="B226" i="16" s="1"/>
  <c r="B227" i="16" s="1"/>
  <c r="B228" i="16" s="1"/>
  <c r="B65" i="11"/>
  <c r="B56" i="11"/>
  <c r="B29" i="11"/>
  <c r="B171" i="11"/>
  <c r="B76" i="11"/>
  <c r="B161" i="11"/>
  <c r="B162" i="11" s="1"/>
  <c r="B332" i="16"/>
  <c r="B333" i="16" s="1"/>
  <c r="B334" i="16" s="1"/>
  <c r="B335" i="16" s="1"/>
  <c r="B90" i="11"/>
  <c r="B247" i="18"/>
  <c r="B251" i="18"/>
  <c r="B209" i="18"/>
  <c r="B199" i="14"/>
  <c r="B203" i="14"/>
  <c r="B204" i="14" s="1"/>
  <c r="B205" i="14" s="1"/>
  <c r="B206" i="14" s="1"/>
  <c r="B207" i="14" s="1"/>
  <c r="B55" i="18"/>
  <c r="B159" i="16"/>
  <c r="B160" i="16" s="1"/>
  <c r="B161" i="16" s="1"/>
  <c r="B162" i="16" s="1"/>
  <c r="B158" i="16"/>
  <c r="B607" i="17"/>
  <c r="B608" i="17" s="1"/>
  <c r="B609" i="17" s="1"/>
  <c r="B186" i="11"/>
  <c r="B302" i="16"/>
  <c r="B303" i="16" s="1"/>
  <c r="B192" i="17"/>
  <c r="B97" i="18"/>
  <c r="B431" i="16"/>
  <c r="B432" i="16" s="1"/>
  <c r="B115" i="11"/>
  <c r="B259" i="14"/>
  <c r="B260" i="14" s="1"/>
  <c r="B261" i="14" s="1"/>
  <c r="B262" i="14" s="1"/>
  <c r="B456" i="14"/>
  <c r="B457" i="14" s="1"/>
  <c r="B458" i="14" s="1"/>
  <c r="B459" i="14" s="1"/>
  <c r="B764" i="14"/>
  <c r="B765" i="14" s="1"/>
  <c r="B766" i="14" s="1"/>
  <c r="B767" i="14" s="1"/>
  <c r="B768" i="14" s="1"/>
  <c r="B804" i="14"/>
  <c r="B805" i="14" s="1"/>
  <c r="B806" i="14" s="1"/>
  <c r="B807" i="14" s="1"/>
  <c r="B888" i="14"/>
  <c r="B889" i="14" s="1"/>
  <c r="B890" i="14" s="1"/>
  <c r="B891" i="14" s="1"/>
  <c r="B276" i="14"/>
  <c r="B277" i="14" s="1"/>
  <c r="B278" i="14" s="1"/>
  <c r="B279" i="14" s="1"/>
  <c r="B280" i="14" s="1"/>
  <c r="B149" i="15"/>
  <c r="B214" i="15"/>
  <c r="B215" i="15" s="1"/>
  <c r="B216" i="15" s="1"/>
  <c r="B180" i="15"/>
  <c r="B253" i="15"/>
  <c r="B254" i="15" s="1"/>
  <c r="B255" i="15" s="1"/>
  <c r="B256" i="15" s="1"/>
  <c r="B257" i="15" s="1"/>
  <c r="B364" i="15"/>
  <c r="B119" i="15"/>
  <c r="B120" i="15" s="1"/>
  <c r="B121" i="15" s="1"/>
  <c r="B122" i="15" s="1"/>
  <c r="B123" i="15" s="1"/>
  <c r="B124" i="15" s="1"/>
  <c r="B125" i="15" s="1"/>
  <c r="B373" i="15"/>
  <c r="B374" i="15" s="1"/>
  <c r="B82" i="15"/>
  <c r="B83" i="15" s="1"/>
  <c r="B492" i="14"/>
  <c r="B493" i="14" s="1"/>
  <c r="B494" i="14" s="1"/>
  <c r="B495" i="14" s="1"/>
  <c r="B496" i="14" s="1"/>
  <c r="B497" i="14" s="1"/>
  <c r="B30" i="18"/>
  <c r="B31" i="18" s="1"/>
  <c r="B655" i="16"/>
  <c r="B656" i="16" s="1"/>
  <c r="B657" i="16" s="1"/>
  <c r="B658" i="16" s="1"/>
  <c r="B659" i="16" s="1"/>
  <c r="B138" i="14"/>
  <c r="B139" i="14" s="1"/>
  <c r="B140" i="14" s="1"/>
  <c r="B108" i="18"/>
  <c r="B144" i="18"/>
  <c r="B145" i="18" s="1"/>
  <c r="B146" i="18" s="1"/>
  <c r="B485" i="16"/>
  <c r="B497" i="15"/>
  <c r="B362" i="15"/>
  <c r="B363" i="15" s="1"/>
  <c r="B82" i="11"/>
  <c r="B193" i="11"/>
  <c r="B51" i="11"/>
  <c r="B93" i="11"/>
  <c r="B176" i="11"/>
  <c r="B177" i="11" s="1"/>
  <c r="B143" i="11"/>
  <c r="B144" i="11" s="1"/>
  <c r="B99" i="11"/>
  <c r="B126" i="11"/>
  <c r="B140" i="15"/>
  <c r="B141" i="15" s="1"/>
  <c r="B142" i="15" s="1"/>
  <c r="B143" i="15" s="1"/>
  <c r="B144" i="15" s="1"/>
  <c r="B145" i="15" s="1"/>
  <c r="B263" i="14"/>
  <c r="B264" i="14" s="1"/>
  <c r="B265" i="14" s="1"/>
  <c r="B266" i="14" s="1"/>
  <c r="B267" i="14" s="1"/>
  <c r="B268" i="14" s="1"/>
  <c r="B231" i="15"/>
  <c r="B232" i="15" s="1"/>
  <c r="B139" i="18"/>
  <c r="B602" i="14"/>
  <c r="B603" i="14" s="1"/>
  <c r="B604" i="14" s="1"/>
  <c r="B605" i="14" s="1"/>
  <c r="B606" i="14" s="1"/>
  <c r="B378" i="17"/>
  <c r="B379" i="17" s="1"/>
  <c r="B380" i="17" s="1"/>
  <c r="B190" i="11"/>
  <c r="B257" i="18"/>
  <c r="B370" i="16"/>
  <c r="B371" i="16" s="1"/>
  <c r="B372" i="16" s="1"/>
  <c r="B175" i="18"/>
  <c r="B176" i="18" s="1"/>
  <c r="B236" i="18"/>
  <c r="B219" i="18"/>
  <c r="B164" i="18"/>
  <c r="B165" i="18" s="1"/>
  <c r="B227" i="18"/>
  <c r="B183" i="18"/>
  <c r="B43" i="11"/>
  <c r="B85" i="17"/>
  <c r="B86" i="17" s="1"/>
  <c r="B187" i="11"/>
  <c r="B611" i="17"/>
  <c r="B612" i="17" s="1"/>
  <c r="B308" i="17"/>
  <c r="B309" i="17" s="1"/>
  <c r="B160" i="15"/>
  <c r="B161" i="15" s="1"/>
  <c r="B618" i="16"/>
  <c r="B619" i="16" s="1"/>
  <c r="B168" i="15"/>
  <c r="B169" i="15" s="1"/>
  <c r="B32" i="18"/>
  <c r="B293" i="14"/>
  <c r="B294" i="14" s="1"/>
  <c r="B295" i="14" s="1"/>
  <c r="B296" i="14" s="1"/>
  <c r="B297" i="14" s="1"/>
  <c r="B780" i="14"/>
  <c r="B781" i="14" s="1"/>
  <c r="B782" i="14" s="1"/>
  <c r="B783" i="14" s="1"/>
  <c r="B836" i="14"/>
  <c r="B837" i="14" s="1"/>
  <c r="B838" i="14" s="1"/>
  <c r="B839" i="14" s="1"/>
  <c r="B840" i="14" s="1"/>
  <c r="B646" i="14"/>
  <c r="B647" i="14" s="1"/>
  <c r="B648" i="14" s="1"/>
  <c r="B649" i="14" s="1"/>
  <c r="B720" i="14"/>
  <c r="B721" i="14" s="1"/>
  <c r="B722" i="14" s="1"/>
  <c r="B723" i="14" s="1"/>
  <c r="B714" i="14"/>
  <c r="B715" i="14" s="1"/>
  <c r="B716" i="14" s="1"/>
  <c r="B717" i="14" s="1"/>
  <c r="B718" i="14" s="1"/>
  <c r="B730" i="14"/>
  <c r="B731" i="14" s="1"/>
  <c r="B732" i="14" s="1"/>
  <c r="B733" i="14" s="1"/>
  <c r="B560" i="14"/>
  <c r="B432" i="14"/>
  <c r="B433" i="14" s="1"/>
  <c r="B434" i="14" s="1"/>
  <c r="B435" i="14" s="1"/>
  <c r="B436" i="14" s="1"/>
  <c r="B498" i="15"/>
  <c r="B499" i="15" s="1"/>
  <c r="B383" i="15"/>
  <c r="B460" i="15"/>
  <c r="B461" i="15" s="1"/>
  <c r="B462" i="15" s="1"/>
  <c r="B463" i="15" s="1"/>
  <c r="B450" i="15"/>
  <c r="B341" i="15"/>
  <c r="B342" i="15" s="1"/>
  <c r="B343" i="15" s="1"/>
  <c r="B344" i="15" s="1"/>
  <c r="B345" i="15" s="1"/>
  <c r="B413" i="15"/>
  <c r="B414" i="15" s="1"/>
  <c r="B200" i="15"/>
  <c r="B201" i="15" s="1"/>
  <c r="B202" i="15" s="1"/>
  <c r="B203" i="15" s="1"/>
  <c r="B204" i="15" s="1"/>
  <c r="B205" i="15" s="1"/>
  <c r="B206" i="15" s="1"/>
  <c r="B207" i="15" s="1"/>
  <c r="B104" i="15"/>
  <c r="B105" i="15" s="1"/>
  <c r="B92" i="15"/>
  <c r="B93" i="15" s="1"/>
  <c r="B94" i="15" s="1"/>
  <c r="B95" i="15" s="1"/>
  <c r="B96" i="15" s="1"/>
  <c r="B97" i="15" s="1"/>
  <c r="B472" i="15"/>
  <c r="B473" i="15" s="1"/>
  <c r="B474" i="15" s="1"/>
  <c r="B475" i="15" s="1"/>
  <c r="B297" i="15"/>
  <c r="B298" i="15" s="1"/>
  <c r="B299" i="15" s="1"/>
  <c r="B174" i="15"/>
  <c r="B525" i="14"/>
  <c r="B526" i="14" s="1"/>
  <c r="B480" i="17"/>
  <c r="B481" i="17" s="1"/>
  <c r="B482" i="17" s="1"/>
  <c r="B483" i="17" s="1"/>
  <c r="B484" i="17" s="1"/>
  <c r="B485" i="17" s="1"/>
  <c r="B381" i="16"/>
  <c r="B382" i="16" s="1"/>
  <c r="B383" i="16" s="1"/>
  <c r="B384" i="16" s="1"/>
  <c r="B385" i="16" s="1"/>
  <c r="B386" i="16" s="1"/>
  <c r="B320" i="14"/>
  <c r="B321" i="14" s="1"/>
  <c r="B322" i="14" s="1"/>
  <c r="B323" i="14" s="1"/>
  <c r="B324" i="14" s="1"/>
  <c r="B178" i="11"/>
  <c r="B31" i="11"/>
  <c r="B139" i="11"/>
  <c r="B269" i="14"/>
  <c r="B270" i="14" s="1"/>
  <c r="B271" i="14" s="1"/>
  <c r="B272" i="14" s="1"/>
  <c r="B273" i="14" s="1"/>
  <c r="B274" i="14" s="1"/>
  <c r="B84" i="18"/>
  <c r="B85" i="18" s="1"/>
  <c r="B86" i="18" s="1"/>
  <c r="B328" i="16"/>
  <c r="B324" i="16"/>
  <c r="B196" i="18"/>
  <c r="B279" i="15"/>
  <c r="B280" i="15" s="1"/>
  <c r="B234" i="18"/>
  <c r="B229" i="18"/>
  <c r="B194" i="18"/>
  <c r="B282" i="18"/>
  <c r="B279" i="18"/>
  <c r="B110" i="16"/>
  <c r="B111" i="16" s="1"/>
  <c r="B112" i="16" s="1"/>
  <c r="B113" i="16" s="1"/>
  <c r="B78" i="15"/>
  <c r="B79" i="15" s="1"/>
  <c r="B639" i="16"/>
  <c r="B640" i="16" s="1"/>
  <c r="B641" i="16" s="1"/>
  <c r="B642" i="16" s="1"/>
  <c r="B485" i="15"/>
  <c r="B486" i="15" s="1"/>
  <c r="B98" i="11"/>
  <c r="B173" i="18"/>
  <c r="B685" i="14"/>
  <c r="B686" i="14" s="1"/>
  <c r="B687" i="14" s="1"/>
  <c r="B688" i="14" s="1"/>
  <c r="B689" i="14" s="1"/>
  <c r="B690" i="14" s="1"/>
  <c r="B331" i="14"/>
  <c r="B332" i="14" s="1"/>
  <c r="B333" i="14" s="1"/>
  <c r="B334" i="14" s="1"/>
  <c r="B335" i="14" s="1"/>
  <c r="B336" i="14" s="1"/>
  <c r="B480" i="14"/>
  <c r="B481" i="14" s="1"/>
  <c r="B482" i="14" s="1"/>
  <c r="B483" i="14" s="1"/>
  <c r="B484" i="14" s="1"/>
  <c r="B485" i="14" s="1"/>
  <c r="B509" i="16"/>
  <c r="B510" i="16" s="1"/>
  <c r="B511" i="16" s="1"/>
  <c r="B512" i="16" s="1"/>
  <c r="B270" i="17"/>
  <c r="B271" i="17" s="1"/>
  <c r="B272" i="17" s="1"/>
  <c r="B273" i="17" s="1"/>
  <c r="B367" i="15"/>
  <c r="B107" i="15"/>
  <c r="B118" i="15"/>
  <c r="B922" i="14"/>
  <c r="B923" i="14" s="1"/>
  <c r="B924" i="14" s="1"/>
  <c r="B925" i="14" s="1"/>
  <c r="B926" i="14" s="1"/>
  <c r="B927" i="14" s="1"/>
  <c r="B969" i="14"/>
  <c r="B970" i="14" s="1"/>
  <c r="B971" i="14" s="1"/>
  <c r="B972" i="14" s="1"/>
  <c r="B973" i="14" s="1"/>
  <c r="B81" i="17"/>
  <c r="B380" i="15"/>
  <c r="B381" i="15"/>
  <c r="B644" i="17"/>
  <c r="B537" i="14"/>
  <c r="B538" i="14" s="1"/>
  <c r="B539" i="14" s="1"/>
  <c r="B540" i="14" s="1"/>
  <c r="B541" i="14" s="1"/>
  <c r="B196" i="11"/>
  <c r="B86" i="11"/>
  <c r="B165" i="11"/>
  <c r="B181" i="16"/>
  <c r="B182" i="16" s="1"/>
  <c r="B183" i="16" s="1"/>
  <c r="B295" i="17"/>
  <c r="B296" i="17" s="1"/>
  <c r="B297" i="17" s="1"/>
  <c r="B326" i="16"/>
  <c r="B327" i="16" s="1"/>
  <c r="B236" i="15"/>
  <c r="B237" i="15" s="1"/>
  <c r="B238" i="15" s="1"/>
  <c r="B239" i="15" s="1"/>
  <c r="B240" i="15" s="1"/>
  <c r="B241" i="15" s="1"/>
  <c r="B474" i="14"/>
  <c r="B475" i="14" s="1"/>
  <c r="B476" i="14" s="1"/>
  <c r="B477" i="14" s="1"/>
  <c r="B478" i="14" s="1"/>
  <c r="B479" i="14" s="1"/>
  <c r="B956" i="14"/>
  <c r="B957" i="14" s="1"/>
  <c r="B958" i="14" s="1"/>
  <c r="B959" i="14" s="1"/>
  <c r="B960" i="14" s="1"/>
  <c r="B961" i="14" s="1"/>
  <c r="B952" i="14"/>
  <c r="B953" i="14" s="1"/>
  <c r="B954" i="14" s="1"/>
  <c r="B955" i="14" s="1"/>
  <c r="B168" i="18"/>
  <c r="B263" i="18"/>
  <c r="B200" i="14"/>
  <c r="B201" i="14" s="1"/>
  <c r="B202" i="14" s="1"/>
  <c r="B113" i="17"/>
  <c r="B184" i="11"/>
  <c r="B109" i="11"/>
  <c r="B419" i="14"/>
  <c r="B420" i="14" s="1"/>
  <c r="B421" i="14" s="1"/>
  <c r="B422" i="14" s="1"/>
  <c r="B423" i="14" s="1"/>
  <c r="B424" i="14" s="1"/>
  <c r="B221" i="16"/>
  <c r="B591" i="17"/>
  <c r="B592" i="17" s="1"/>
  <c r="B593" i="17" s="1"/>
  <c r="B352" i="15"/>
  <c r="B353" i="15" s="1"/>
  <c r="B354" i="15" s="1"/>
  <c r="B355" i="15" s="1"/>
  <c r="B356" i="15" s="1"/>
  <c r="B230" i="16"/>
  <c r="B231" i="16" s="1"/>
  <c r="B232" i="16" s="1"/>
  <c r="B233" i="16" s="1"/>
  <c r="B234" i="16" s="1"/>
  <c r="B326" i="14"/>
  <c r="B327" i="14" s="1"/>
  <c r="B328" i="14" s="1"/>
  <c r="B329" i="14" s="1"/>
  <c r="B330" i="14" s="1"/>
  <c r="B593" i="14"/>
  <c r="B594" i="14" s="1"/>
  <c r="B595" i="14" s="1"/>
  <c r="B596" i="14" s="1"/>
  <c r="B188" i="14"/>
  <c r="B189" i="14" s="1"/>
  <c r="B190" i="14" s="1"/>
  <c r="B191" i="14" s="1"/>
  <c r="B192" i="14" s="1"/>
  <c r="B350" i="15"/>
  <c r="B351" i="15" s="1"/>
  <c r="B126" i="15"/>
  <c r="B127" i="15" s="1"/>
  <c r="B128" i="15" s="1"/>
  <c r="B129" i="15" s="1"/>
  <c r="B130" i="15" s="1"/>
  <c r="B131" i="15" s="1"/>
  <c r="B477" i="15"/>
  <c r="B478" i="15" s="1"/>
  <c r="B479" i="15" s="1"/>
  <c r="B559" i="17"/>
  <c r="B560" i="17" s="1"/>
  <c r="B561" i="17" s="1"/>
  <c r="B366" i="17"/>
  <c r="B367" i="17" s="1"/>
  <c r="B368" i="17" s="1"/>
  <c r="B414" i="16"/>
  <c r="B415" i="16" s="1"/>
  <c r="B416" i="16" s="1"/>
  <c r="B417" i="16" s="1"/>
  <c r="B418" i="16" s="1"/>
  <c r="B426" i="15"/>
  <c r="B427" i="15" s="1"/>
  <c r="B353" i="16"/>
  <c r="B312" i="14"/>
  <c r="B313" i="14" s="1"/>
  <c r="B314" i="14" s="1"/>
  <c r="B315" i="14" s="1"/>
  <c r="B316" i="14" s="1"/>
  <c r="B317" i="14" s="1"/>
  <c r="B318" i="14" s="1"/>
  <c r="B319" i="14" s="1"/>
  <c r="B83" i="11"/>
  <c r="B55" i="11"/>
  <c r="B184" i="16"/>
  <c r="B185" i="16" s="1"/>
  <c r="B186" i="16" s="1"/>
  <c r="B187" i="16" s="1"/>
  <c r="B188" i="16" s="1"/>
  <c r="B117" i="11"/>
  <c r="B274" i="18"/>
  <c r="B275" i="18" s="1"/>
  <c r="B527" i="14"/>
  <c r="B528" i="14" s="1"/>
  <c r="B529" i="14" s="1"/>
  <c r="B530" i="14" s="1"/>
  <c r="B531" i="14" s="1"/>
  <c r="B189" i="18"/>
  <c r="B190" i="18" s="1"/>
  <c r="B166" i="14"/>
  <c r="B167" i="14" s="1"/>
  <c r="B168" i="14" s="1"/>
  <c r="B169" i="14" s="1"/>
  <c r="B170" i="14" s="1"/>
  <c r="B171" i="14" s="1"/>
  <c r="B172" i="14" s="1"/>
  <c r="B115" i="15"/>
  <c r="B116" i="15" s="1"/>
  <c r="B35" i="11"/>
  <c r="B83" i="17"/>
  <c r="B84" i="17" s="1"/>
  <c r="B188" i="17"/>
  <c r="B189" i="17" s="1"/>
  <c r="B190" i="17" s="1"/>
  <c r="B191" i="17" s="1"/>
  <c r="B897" i="14"/>
  <c r="B898" i="14" s="1"/>
  <c r="B899" i="14" s="1"/>
  <c r="B900" i="14" s="1"/>
  <c r="B901" i="14" s="1"/>
  <c r="B452" i="15"/>
  <c r="B481" i="16"/>
  <c r="B307" i="15"/>
  <c r="B308" i="15" s="1"/>
  <c r="B309" i="15" s="1"/>
  <c r="B310" i="15" s="1"/>
  <c r="B311" i="15" s="1"/>
  <c r="B312" i="15" s="1"/>
  <c r="B394" i="14"/>
  <c r="B395" i="14" s="1"/>
  <c r="B396" i="14" s="1"/>
  <c r="B397" i="14" s="1"/>
  <c r="B398" i="14" s="1"/>
  <c r="B876" i="14"/>
  <c r="B877" i="14" s="1"/>
  <c r="B878" i="14" s="1"/>
  <c r="B879" i="14" s="1"/>
  <c r="B880" i="14" s="1"/>
  <c r="B381" i="14"/>
  <c r="B382" i="14" s="1"/>
  <c r="B383" i="14" s="1"/>
  <c r="B384" i="14" s="1"/>
  <c r="B385" i="14" s="1"/>
  <c r="B386" i="14" s="1"/>
  <c r="B371" i="15"/>
  <c r="B436" i="15"/>
  <c r="B437" i="15" s="1"/>
  <c r="B438" i="15" s="1"/>
  <c r="B439" i="15" s="1"/>
  <c r="B440" i="15" s="1"/>
  <c r="B219" i="15"/>
  <c r="B220" i="15" s="1"/>
  <c r="B334" i="15"/>
  <c r="B335" i="15" s="1"/>
  <c r="B113" i="15"/>
  <c r="B418" i="15"/>
  <c r="B419" i="15" s="1"/>
  <c r="B332" i="15"/>
  <c r="B333" i="15" s="1"/>
  <c r="B416" i="15"/>
  <c r="B417" i="15" s="1"/>
  <c r="B403" i="15"/>
  <c r="B188" i="15"/>
  <c r="B288" i="15"/>
  <c r="B375" i="15"/>
  <c r="B376" i="15" s="1"/>
  <c r="B106" i="17"/>
  <c r="B653" i="16"/>
  <c r="B654" i="16" s="1"/>
  <c r="B486" i="16"/>
  <c r="B487" i="16" s="1"/>
  <c r="B488" i="16" s="1"/>
  <c r="B489" i="16" s="1"/>
  <c r="B490" i="16" s="1"/>
  <c r="B496" i="15"/>
  <c r="B157" i="11"/>
  <c r="B154" i="11"/>
  <c r="B84" i="11"/>
  <c r="B112" i="11"/>
  <c r="B64" i="11"/>
  <c r="B159" i="11"/>
  <c r="B191" i="11"/>
  <c r="B192" i="11" s="1"/>
  <c r="B313" i="15"/>
  <c r="B314" i="15" s="1"/>
  <c r="B315" i="15" s="1"/>
  <c r="B163" i="18"/>
  <c r="B265" i="18"/>
  <c r="B266" i="18" s="1"/>
  <c r="B187" i="18"/>
  <c r="B161" i="18"/>
  <c r="B237" i="18"/>
  <c r="B216" i="18"/>
  <c r="B114" i="17"/>
  <c r="B115" i="17" s="1"/>
  <c r="B116" i="17" s="1"/>
  <c r="B173" i="14"/>
  <c r="B174" i="14" s="1"/>
  <c r="B175" i="14" s="1"/>
  <c r="B176" i="14" s="1"/>
  <c r="B177" i="14" s="1"/>
  <c r="B92" i="17"/>
  <c r="B946" i="14"/>
  <c r="B947" i="14" s="1"/>
  <c r="B948" i="14" s="1"/>
  <c r="B949" i="14" s="1"/>
  <c r="B950" i="14" s="1"/>
  <c r="B81" i="11"/>
  <c r="B453" i="15"/>
  <c r="B454" i="15" s="1"/>
  <c r="B455" i="15" s="1"/>
  <c r="B456" i="15" s="1"/>
  <c r="B457" i="15" s="1"/>
  <c r="B436" i="17"/>
  <c r="B437" i="17" s="1"/>
  <c r="B438" i="17" s="1"/>
  <c r="B101" i="18"/>
  <c r="B425" i="16"/>
  <c r="B426" i="16" s="1"/>
  <c r="B427" i="16" s="1"/>
  <c r="B428" i="16" s="1"/>
  <c r="B429" i="16" s="1"/>
  <c r="B430" i="16" s="1"/>
  <c r="B375" i="17"/>
  <c r="B376" i="17" s="1"/>
  <c r="B377" i="17" s="1"/>
  <c r="B304" i="15"/>
  <c r="B305" i="15" s="1"/>
  <c r="B306" i="15" s="1"/>
  <c r="B709" i="14"/>
  <c r="B710" i="14" s="1"/>
  <c r="B711" i="14" s="1"/>
  <c r="B712" i="14" s="1"/>
  <c r="B713" i="14" s="1"/>
  <c r="B792" i="14"/>
  <c r="B793" i="14" s="1"/>
  <c r="B794" i="14" s="1"/>
  <c r="B795" i="14" s="1"/>
  <c r="B796" i="14" s="1"/>
  <c r="B797" i="14" s="1"/>
  <c r="B442" i="14"/>
  <c r="B443" i="14" s="1"/>
  <c r="B444" i="14" s="1"/>
  <c r="B445" i="14" s="1"/>
  <c r="B446" i="14" s="1"/>
  <c r="B447" i="14" s="1"/>
  <c r="B348" i="17"/>
  <c r="B349" i="17" s="1"/>
  <c r="B350" i="17" s="1"/>
  <c r="B351" i="17" s="1"/>
  <c r="B122" i="16"/>
  <c r="B123" i="16" s="1"/>
  <c r="B124" i="16" s="1"/>
  <c r="B125" i="16" s="1"/>
  <c r="B126" i="16" s="1"/>
  <c r="B127" i="16" s="1"/>
  <c r="B128" i="16" s="1"/>
  <c r="B129" i="16" s="1"/>
  <c r="B420" i="15"/>
  <c r="B421" i="15" s="1"/>
  <c r="B322" i="15"/>
  <c r="B323" i="15" s="1"/>
  <c r="B324" i="15" s="1"/>
  <c r="B325" i="15" s="1"/>
  <c r="B406" i="15"/>
  <c r="B407" i="15" s="1"/>
  <c r="B320" i="15"/>
  <c r="B404" i="15"/>
  <c r="B405" i="15" s="1"/>
  <c r="B189" i="15"/>
  <c r="B190" i="15" s="1"/>
  <c r="B176" i="15"/>
  <c r="B132" i="15"/>
  <c r="B133" i="15" s="1"/>
  <c r="B134" i="15" s="1"/>
  <c r="B135" i="15" s="1"/>
  <c r="B136" i="15" s="1"/>
  <c r="B137" i="15" s="1"/>
  <c r="B138" i="15" s="1"/>
  <c r="B285" i="15"/>
  <c r="B286" i="15" s="1"/>
  <c r="B107" i="17"/>
  <c r="B98" i="15"/>
  <c r="B99" i="15" s="1"/>
  <c r="B100" i="15" s="1"/>
  <c r="B101" i="15" s="1"/>
  <c r="B102" i="15" s="1"/>
  <c r="B103" i="15" s="1"/>
  <c r="B158" i="14"/>
  <c r="B159" i="14" s="1"/>
  <c r="B160" i="14" s="1"/>
  <c r="B161" i="14" s="1"/>
  <c r="B162" i="14" s="1"/>
  <c r="B163" i="14" s="1"/>
  <c r="B164" i="14" s="1"/>
  <c r="B861" i="14"/>
  <c r="B862" i="14" s="1"/>
  <c r="B863" i="14" s="1"/>
  <c r="B864" i="14" s="1"/>
  <c r="B865" i="14" s="1"/>
  <c r="B296" i="15"/>
  <c r="B492" i="15"/>
  <c r="B217" i="17"/>
  <c r="B218" i="17" s="1"/>
  <c r="B219" i="17" s="1"/>
  <c r="B584" i="16"/>
  <c r="B585" i="16" s="1"/>
  <c r="B539" i="17"/>
  <c r="B540" i="17" s="1"/>
  <c r="B541" i="17" s="1"/>
  <c r="B542" i="17" s="1"/>
  <c r="B543" i="17" s="1"/>
  <c r="B544" i="17" s="1"/>
  <c r="B358" i="15"/>
  <c r="B359" i="15" s="1"/>
  <c r="B360" i="15" s="1"/>
  <c r="B361" i="15" s="1"/>
  <c r="B641" i="17"/>
  <c r="B642" i="17" s="1"/>
  <c r="B643" i="17" s="1"/>
  <c r="B907" i="14"/>
  <c r="B908" i="14" s="1"/>
  <c r="B909" i="14" s="1"/>
  <c r="B910" i="14" s="1"/>
  <c r="B911" i="14" s="1"/>
  <c r="B912" i="14" s="1"/>
  <c r="B913" i="14" s="1"/>
  <c r="B914" i="14" s="1"/>
  <c r="B208" i="16"/>
  <c r="B209" i="16" s="1"/>
  <c r="B210" i="16" s="1"/>
  <c r="B151" i="11"/>
  <c r="B53" i="11"/>
  <c r="B150" i="11"/>
  <c r="B122" i="11"/>
  <c r="B120" i="11"/>
  <c r="B128" i="11"/>
  <c r="B149" i="17"/>
  <c r="B150" i="17" s="1"/>
  <c r="B151" i="17" s="1"/>
  <c r="B152" i="17" s="1"/>
  <c r="B153" i="17" s="1"/>
  <c r="B154" i="17" s="1"/>
  <c r="B155" i="17" s="1"/>
  <c r="B141" i="18"/>
  <c r="B142" i="18" s="1"/>
  <c r="B143" i="18" s="1"/>
  <c r="B287" i="17"/>
  <c r="B288" i="17" s="1"/>
  <c r="B289" i="17" s="1"/>
  <c r="B290" i="17" s="1"/>
  <c r="B291" i="17" s="1"/>
  <c r="B464" i="14"/>
  <c r="B465" i="14" s="1"/>
  <c r="B466" i="14" s="1"/>
  <c r="B467" i="14" s="1"/>
  <c r="B468" i="14" s="1"/>
  <c r="B648" i="16"/>
  <c r="B649" i="16" s="1"/>
  <c r="B650" i="16" s="1"/>
  <c r="B651" i="16" s="1"/>
  <c r="B210" i="18"/>
  <c r="B211" i="18" s="1"/>
  <c r="B103" i="11"/>
  <c r="B223" i="18"/>
  <c r="B268" i="18"/>
  <c r="B373" i="16"/>
  <c r="B374" i="16" s="1"/>
  <c r="B375" i="16" s="1"/>
  <c r="B376" i="16" s="1"/>
  <c r="B67" i="18"/>
  <c r="B68" i="18" s="1"/>
  <c r="B228" i="14"/>
  <c r="B229" i="14" s="1"/>
  <c r="B230" i="14" s="1"/>
  <c r="B231" i="14" s="1"/>
  <c r="B232" i="14" s="1"/>
  <c r="B233" i="14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629" i="16"/>
  <c r="B630" i="16" s="1"/>
  <c r="B631" i="16" s="1"/>
  <c r="B632" i="16" s="1"/>
  <c r="B633" i="16" s="1"/>
  <c r="B634" i="16" s="1"/>
  <c r="B271" i="15"/>
  <c r="B272" i="15" s="1"/>
  <c r="B291" i="15"/>
  <c r="B292" i="15" s="1"/>
  <c r="B172" i="18"/>
  <c r="B303" i="14"/>
  <c r="B304" i="14" s="1"/>
  <c r="B305" i="14" s="1"/>
  <c r="B306" i="14" s="1"/>
  <c r="B307" i="14" s="1"/>
  <c r="B308" i="14" s="1"/>
  <c r="B309" i="14" s="1"/>
  <c r="B310" i="14" s="1"/>
  <c r="B132" i="11"/>
  <c r="B67" i="11"/>
  <c r="B617" i="14"/>
  <c r="B618" i="14" s="1"/>
  <c r="B619" i="14" s="1"/>
  <c r="B620" i="14" s="1"/>
  <c r="B621" i="14" s="1"/>
  <c r="B622" i="14" s="1"/>
  <c r="B623" i="14" s="1"/>
  <c r="B400" i="14"/>
  <c r="B401" i="14" s="1"/>
  <c r="B402" i="14" s="1"/>
  <c r="B403" i="14" s="1"/>
  <c r="B404" i="14" s="1"/>
  <c r="B216" i="14"/>
  <c r="B217" i="14" s="1"/>
  <c r="B218" i="14" s="1"/>
  <c r="B219" i="14" s="1"/>
  <c r="B220" i="14" s="1"/>
  <c r="B606" i="16"/>
  <c r="B607" i="16" s="1"/>
  <c r="B336" i="15"/>
  <c r="B337" i="15" s="1"/>
  <c r="B408" i="15"/>
  <c r="B409" i="15" s="1"/>
  <c r="B410" i="15" s="1"/>
  <c r="B411" i="15" s="1"/>
  <c r="B412" i="15" s="1"/>
  <c r="B293" i="15"/>
  <c r="B294" i="15" s="1"/>
  <c r="B177" i="15"/>
  <c r="B178" i="15" s="1"/>
  <c r="B377" i="15"/>
  <c r="B378" i="15" s="1"/>
  <c r="B442" i="15"/>
  <c r="B443" i="15" s="1"/>
  <c r="B444" i="15" s="1"/>
  <c r="B445" i="15" s="1"/>
  <c r="B446" i="15" s="1"/>
  <c r="B340" i="15"/>
  <c r="B108" i="17"/>
  <c r="B109" i="17" s="1"/>
  <c r="B110" i="17" s="1"/>
  <c r="B103" i="18"/>
  <c r="B104" i="18" s="1"/>
  <c r="B753" i="14"/>
  <c r="B754" i="14" s="1"/>
  <c r="B755" i="14" s="1"/>
  <c r="B756" i="14" s="1"/>
  <c r="B757" i="14" s="1"/>
  <c r="B758" i="14" s="1"/>
  <c r="B442" i="17"/>
  <c r="B443" i="17" s="1"/>
  <c r="B444" i="17" s="1"/>
  <c r="B445" i="17" s="1"/>
  <c r="B464" i="15"/>
  <c r="B154" i="15"/>
  <c r="B155" i="15" s="1"/>
  <c r="B99" i="18"/>
  <c r="B62" i="11"/>
  <c r="B74" i="11"/>
  <c r="B137" i="11"/>
  <c r="B133" i="11"/>
  <c r="B72" i="11"/>
  <c r="B163" i="11"/>
  <c r="B107" i="11"/>
  <c r="B293" i="17"/>
  <c r="B294" i="17" s="1"/>
  <c r="B644" i="16"/>
  <c r="B645" i="16" s="1"/>
  <c r="B646" i="16" s="1"/>
  <c r="B647" i="16" s="1"/>
  <c r="B185" i="18"/>
  <c r="B212" i="18"/>
  <c r="B261" i="18"/>
  <c r="B262" i="18" s="1"/>
  <c r="B243" i="18"/>
  <c r="B244" i="18" s="1"/>
  <c r="B93" i="17"/>
  <c r="B94" i="17" s="1"/>
  <c r="B95" i="17" s="1"/>
  <c r="B96" i="17" s="1"/>
  <c r="B47" i="11"/>
  <c r="B39" i="18"/>
  <c r="B40" i="18" s="1"/>
  <c r="B41" i="18" s="1"/>
  <c r="B42" i="18" s="1"/>
  <c r="B43" i="18" s="1"/>
  <c r="B929" i="14"/>
  <c r="B930" i="14" s="1"/>
  <c r="B931" i="14" s="1"/>
  <c r="B932" i="14" s="1"/>
  <c r="B933" i="14" s="1"/>
  <c r="B934" i="14" s="1"/>
  <c r="B935" i="14" s="1"/>
  <c r="B480" i="15"/>
  <c r="B481" i="15" s="1"/>
  <c r="B613" i="17"/>
  <c r="B614" i="17" s="1"/>
  <c r="B615" i="17" s="1"/>
  <c r="B616" i="17" s="1"/>
  <c r="B617" i="17" s="1"/>
  <c r="B618" i="17" s="1"/>
  <c r="B619" i="17" s="1"/>
  <c r="B620" i="17" s="1"/>
  <c r="B193" i="15"/>
  <c r="B194" i="15" s="1"/>
  <c r="B195" i="15" s="1"/>
  <c r="B196" i="15" s="1"/>
  <c r="B197" i="15" s="1"/>
  <c r="B198" i="15" s="1"/>
  <c r="B199" i="15" s="1"/>
  <c r="B617" i="16"/>
  <c r="B119" i="14"/>
  <c r="B989" i="14"/>
  <c r="B990" i="14" s="1"/>
  <c r="B991" i="14" s="1"/>
  <c r="B992" i="14" s="1"/>
  <c r="B607" i="14"/>
  <c r="B608" i="14" s="1"/>
  <c r="B609" i="14" s="1"/>
  <c r="B610" i="14" s="1"/>
  <c r="B611" i="14" s="1"/>
  <c r="B132" i="18"/>
  <c r="B181" i="15"/>
  <c r="B182" i="15" s="1"/>
  <c r="B382" i="15"/>
  <c r="B465" i="15"/>
  <c r="B466" i="15" s="1"/>
  <c r="B467" i="15" s="1"/>
  <c r="B468" i="15" s="1"/>
  <c r="B469" i="15" s="1"/>
  <c r="B470" i="15" s="1"/>
  <c r="B273" i="15"/>
  <c r="B274" i="15" s="1"/>
  <c r="B157" i="15"/>
  <c r="B365" i="15"/>
  <c r="B366" i="15" s="1"/>
  <c r="B428" i="15"/>
  <c r="B429" i="15" s="1"/>
  <c r="B328" i="15"/>
  <c r="B329" i="15" s="1"/>
  <c r="B107" i="16"/>
  <c r="B108" i="16" s="1"/>
  <c r="B109" i="16" s="1"/>
  <c r="B254" i="16"/>
  <c r="B172" i="15"/>
  <c r="B305" i="17"/>
  <c r="B306" i="17" s="1"/>
  <c r="B518" i="16"/>
  <c r="B519" i="16" s="1"/>
  <c r="B520" i="16" s="1"/>
  <c r="B521" i="16" s="1"/>
  <c r="B522" i="16" s="1"/>
  <c r="B523" i="16" s="1"/>
  <c r="B694" i="14"/>
  <c r="B695" i="14" s="1"/>
  <c r="B696" i="14" s="1"/>
  <c r="B283" i="15"/>
  <c r="B284" i="15" s="1"/>
  <c r="B175" i="17"/>
  <c r="B176" i="17" s="1"/>
  <c r="B177" i="17" s="1"/>
  <c r="B178" i="17" s="1"/>
  <c r="B179" i="17" s="1"/>
  <c r="B180" i="17" s="1"/>
  <c r="B197" i="11"/>
  <c r="B198" i="11" s="1"/>
  <c r="B110" i="11"/>
  <c r="B179" i="11"/>
  <c r="B152" i="11"/>
  <c r="B145" i="11"/>
  <c r="B77" i="11"/>
  <c r="B141" i="11"/>
  <c r="B142" i="11" s="1"/>
  <c r="B167" i="11"/>
  <c r="B60" i="11"/>
  <c r="B146" i="15"/>
  <c r="B147" i="15" s="1"/>
  <c r="B472" i="14"/>
  <c r="B473" i="14" s="1"/>
  <c r="B628" i="17"/>
  <c r="B629" i="17" s="1"/>
  <c r="B630" i="17" s="1"/>
  <c r="B631" i="17" s="1"/>
  <c r="B253" i="18"/>
  <c r="B249" i="18"/>
  <c r="B220" i="18"/>
  <c r="B221" i="18" s="1"/>
  <c r="B228" i="18"/>
  <c r="B137" i="16"/>
  <c r="B138" i="16" s="1"/>
  <c r="B139" i="16" s="1"/>
  <c r="B140" i="16" s="1"/>
  <c r="B141" i="16" s="1"/>
  <c r="B142" i="16" s="1"/>
  <c r="B143" i="16" s="1"/>
  <c r="B110" i="15"/>
  <c r="B111" i="15" s="1"/>
  <c r="B52" i="18"/>
  <c r="B53" i="18" s="1"/>
  <c r="B54" i="18" s="1"/>
  <c r="B129" i="17"/>
  <c r="B130" i="17" s="1"/>
  <c r="B131" i="17" s="1"/>
  <c r="B936" i="14"/>
  <c r="B937" i="14" s="1"/>
  <c r="B938" i="14" s="1"/>
  <c r="B939" i="14" s="1"/>
  <c r="B940" i="14" s="1"/>
  <c r="B272" i="18"/>
  <c r="B273" i="18" s="1"/>
  <c r="B352" i="17"/>
  <c r="B124" i="18"/>
  <c r="B174" i="11"/>
  <c r="B175" i="11" s="1"/>
  <c r="B203" i="18"/>
  <c r="B204" i="18" s="1"/>
  <c r="B26" i="11"/>
  <c r="B79" i="16"/>
  <c r="B80" i="16" s="1"/>
  <c r="B81" i="16" s="1"/>
  <c r="B82" i="16" s="1"/>
  <c r="B406" i="14"/>
  <c r="B407" i="14" s="1"/>
  <c r="B408" i="14" s="1"/>
  <c r="B409" i="14" s="1"/>
  <c r="B410" i="14" s="1"/>
  <c r="B411" i="14" s="1"/>
  <c r="B412" i="14" s="1"/>
  <c r="B587" i="14"/>
  <c r="B588" i="14" s="1"/>
  <c r="B589" i="14" s="1"/>
  <c r="B590" i="14" s="1"/>
  <c r="B591" i="14" s="1"/>
  <c r="B832" i="14"/>
  <c r="B833" i="14" s="1"/>
  <c r="B834" i="14" s="1"/>
  <c r="B835" i="14" s="1"/>
  <c r="B209" i="14"/>
  <c r="B210" i="14" s="1"/>
  <c r="B211" i="14" s="1"/>
  <c r="B212" i="14" s="1"/>
  <c r="B213" i="14" s="1"/>
  <c r="B214" i="14" s="1"/>
  <c r="B871" i="14"/>
  <c r="B872" i="14" s="1"/>
  <c r="B873" i="14" s="1"/>
  <c r="B874" i="14" s="1"/>
  <c r="B875" i="14" s="1"/>
  <c r="B467" i="17"/>
  <c r="B468" i="17" s="1"/>
  <c r="B469" i="17" s="1"/>
  <c r="B470" i="17" s="1"/>
  <c r="B437" i="14"/>
  <c r="B438" i="14" s="1"/>
  <c r="B439" i="14" s="1"/>
  <c r="B440" i="14" s="1"/>
  <c r="B441" i="14" s="1"/>
  <c r="B372" i="15"/>
  <c r="B384" i="15"/>
  <c r="B385" i="15" s="1"/>
  <c r="B386" i="15" s="1"/>
  <c r="B387" i="15" s="1"/>
  <c r="B388" i="15" s="1"/>
  <c r="B389" i="15" s="1"/>
  <c r="B447" i="15"/>
  <c r="B448" i="15" s="1"/>
  <c r="B242" i="15"/>
  <c r="B243" i="15" s="1"/>
  <c r="B244" i="15" s="1"/>
  <c r="B245" i="15" s="1"/>
  <c r="B246" i="15" s="1"/>
  <c r="B247" i="15" s="1"/>
  <c r="B248" i="15" s="1"/>
  <c r="B249" i="15" s="1"/>
  <c r="B368" i="15"/>
  <c r="B316" i="15"/>
  <c r="B317" i="15" s="1"/>
  <c r="B185" i="15"/>
  <c r="B186" i="15" s="1"/>
  <c r="B626" i="16"/>
  <c r="B857" i="14"/>
  <c r="B858" i="14" s="1"/>
  <c r="B859" i="14" s="1"/>
  <c r="B860" i="14" s="1"/>
  <c r="B578" i="14"/>
  <c r="B579" i="14" s="1"/>
  <c r="B580" i="14" s="1"/>
  <c r="B581" i="14" s="1"/>
  <c r="B582" i="14" s="1"/>
  <c r="B583" i="14" s="1"/>
  <c r="B148" i="18"/>
  <c r="B149" i="18" s="1"/>
  <c r="B636" i="17"/>
  <c r="B637" i="17" s="1"/>
  <c r="B638" i="17" s="1"/>
  <c r="B639" i="17" s="1"/>
  <c r="B343" i="14"/>
  <c r="B344" i="14" s="1"/>
  <c r="B345" i="14" s="1"/>
  <c r="B346" i="14" s="1"/>
  <c r="B347" i="14" s="1"/>
  <c r="B846" i="14"/>
  <c r="B847" i="14" s="1"/>
  <c r="B848" i="14" s="1"/>
  <c r="B849" i="14" s="1"/>
  <c r="B850" i="14" s="1"/>
  <c r="B748" i="14"/>
  <c r="B749" i="14" s="1"/>
  <c r="B750" i="14" s="1"/>
  <c r="B751" i="14" s="1"/>
  <c r="B752" i="14" s="1"/>
  <c r="B697" i="14"/>
  <c r="B698" i="14" s="1"/>
  <c r="B699" i="14" s="1"/>
  <c r="B700" i="14" s="1"/>
  <c r="B701" i="14" s="1"/>
  <c r="B661" i="16"/>
  <c r="B662" i="16" s="1"/>
  <c r="B663" i="16" s="1"/>
  <c r="B664" i="16" s="1"/>
  <c r="B665" i="16"/>
  <c r="B288" i="14"/>
  <c r="B289" i="14" s="1"/>
  <c r="B290" i="14" s="1"/>
  <c r="B291" i="14" s="1"/>
  <c r="B292" i="14" s="1"/>
  <c r="B118" i="11"/>
  <c r="B85" i="11"/>
  <c r="B156" i="11"/>
  <c r="B134" i="11"/>
  <c r="B38" i="11"/>
  <c r="B170" i="11"/>
  <c r="B233" i="15"/>
  <c r="B234" i="15" s="1"/>
  <c r="B235" i="15" s="1"/>
  <c r="B91" i="11"/>
  <c r="B92" i="11" s="1"/>
  <c r="B489" i="15"/>
  <c r="B490" i="15" s="1"/>
  <c r="B231" i="18"/>
  <c r="B232" i="18" s="1"/>
  <c r="B239" i="18"/>
  <c r="B195" i="18"/>
  <c r="B283" i="18"/>
  <c r="B144" i="16"/>
  <c r="B145" i="16" s="1"/>
  <c r="B146" i="16" s="1"/>
  <c r="B147" i="16" s="1"/>
  <c r="B148" i="16" s="1"/>
  <c r="B149" i="16" s="1"/>
  <c r="B150" i="16" s="1"/>
  <c r="B86" i="15"/>
  <c r="B87" i="15" s="1"/>
  <c r="B88" i="15" s="1"/>
  <c r="B89" i="15" s="1"/>
  <c r="B90" i="15" s="1"/>
  <c r="B91" i="15" s="1"/>
  <c r="B504" i="14"/>
  <c r="B505" i="14" s="1"/>
  <c r="B506" i="14" s="1"/>
  <c r="B507" i="14" s="1"/>
  <c r="B508" i="14" s="1"/>
  <c r="B296" i="16"/>
  <c r="B297" i="16" s="1"/>
  <c r="B298" i="16" s="1"/>
  <c r="B299" i="16" s="1"/>
  <c r="B300" i="16" s="1"/>
  <c r="B301" i="16" s="1"/>
  <c r="B260" i="18"/>
  <c r="B482" i="16"/>
  <c r="B483" i="16" s="1"/>
  <c r="B200" i="17"/>
  <c r="B201" i="17" s="1"/>
  <c r="B202" i="17" s="1"/>
  <c r="B203" i="17" s="1"/>
  <c r="B204" i="17" s="1"/>
  <c r="B205" i="17" s="1"/>
  <c r="B597" i="14"/>
  <c r="B598" i="14" s="1"/>
  <c r="B599" i="14" s="1"/>
  <c r="B600" i="14" s="1"/>
  <c r="B601" i="14" s="1"/>
  <c r="B70" i="15"/>
  <c r="B71" i="15" s="1"/>
  <c r="B760" i="14"/>
  <c r="B761" i="14" s="1"/>
  <c r="B762" i="14" s="1"/>
  <c r="B763" i="14" s="1"/>
  <c r="B509" i="14"/>
  <c r="B510" i="14" s="1"/>
  <c r="B511" i="14" s="1"/>
  <c r="B512" i="14" s="1"/>
  <c r="B513" i="14" s="1"/>
  <c r="B904" i="14"/>
  <c r="B905" i="14" s="1"/>
  <c r="B906" i="14" s="1"/>
  <c r="B471" i="17"/>
  <c r="B472" i="17" s="1"/>
  <c r="B473" i="17" s="1"/>
  <c r="B394" i="16"/>
  <c r="B395" i="16" s="1"/>
  <c r="B396" i="16" s="1"/>
  <c r="B397" i="16" s="1"/>
  <c r="B398" i="16" s="1"/>
  <c r="B399" i="16" s="1"/>
  <c r="B400" i="16" s="1"/>
  <c r="B401" i="16" s="1"/>
  <c r="B330" i="15"/>
  <c r="B331" i="15" s="1"/>
  <c r="B183" i="15"/>
  <c r="B184" i="15" s="1"/>
  <c r="B80" i="15"/>
  <c r="B81" i="15" s="1"/>
  <c r="B432" i="15"/>
  <c r="B433" i="15" s="1"/>
  <c r="B574" i="14"/>
  <c r="B575" i="14" s="1"/>
  <c r="B576" i="14" s="1"/>
  <c r="B577" i="14" s="1"/>
  <c r="B593" i="16"/>
  <c r="B594" i="16" s="1"/>
  <c r="B595" i="16" s="1"/>
  <c r="B596" i="16" s="1"/>
  <c r="B597" i="16" s="1"/>
  <c r="B355" i="14"/>
  <c r="B356" i="14" s="1"/>
  <c r="B357" i="14" s="1"/>
  <c r="B358" i="14" s="1"/>
  <c r="B359" i="14" s="1"/>
  <c r="B360" i="14" s="1"/>
  <c r="B361" i="14" s="1"/>
  <c r="B362" i="14" s="1"/>
  <c r="B212" i="17"/>
  <c r="B213" i="17" s="1"/>
  <c r="B214" i="17" s="1"/>
  <c r="B215" i="17" s="1"/>
  <c r="B244" i="16"/>
  <c r="B245" i="16" s="1"/>
  <c r="B246" i="16" s="1"/>
  <c r="B247" i="16" s="1"/>
  <c r="B248" i="16" s="1"/>
  <c r="B578" i="16"/>
  <c r="B579" i="16" s="1"/>
  <c r="B580" i="16" s="1"/>
  <c r="B581" i="16" s="1"/>
  <c r="B582" i="16" s="1"/>
  <c r="B583" i="16" s="1"/>
  <c r="B524" i="16"/>
  <c r="B525" i="16" s="1"/>
  <c r="B526" i="16" s="1"/>
  <c r="B440" i="17"/>
  <c r="B441" i="17" s="1"/>
  <c r="B622" i="16"/>
  <c r="B93" i="18"/>
  <c r="B194" i="17"/>
  <c r="B195" i="17" s="1"/>
  <c r="B196" i="17" s="1"/>
  <c r="B164" i="15"/>
  <c r="B165" i="15" s="1"/>
  <c r="B195" i="11"/>
  <c r="B164" i="11"/>
  <c r="B45" i="11"/>
  <c r="B147" i="11"/>
  <c r="B329" i="16"/>
  <c r="B330" i="16" s="1"/>
  <c r="B331" i="16" s="1"/>
  <c r="B461" i="14"/>
  <c r="B462" i="14" s="1"/>
  <c r="B463" i="14" s="1"/>
  <c r="B433" i="16"/>
  <c r="B434" i="16" s="1"/>
  <c r="B435" i="16" s="1"/>
  <c r="B436" i="16" s="1"/>
  <c r="B437" i="16" s="1"/>
  <c r="B116" i="11"/>
  <c r="B488" i="15"/>
  <c r="B327" i="17"/>
  <c r="B328" i="17" s="1"/>
  <c r="B329" i="17" s="1"/>
  <c r="B330" i="17" s="1"/>
  <c r="B331" i="17" s="1"/>
  <c r="B277" i="18"/>
  <c r="B255" i="18"/>
  <c r="B256" i="18" s="1"/>
  <c r="B271" i="18"/>
  <c r="B156" i="18"/>
  <c r="B157" i="18" s="1"/>
  <c r="B407" i="16"/>
  <c r="B256" i="17"/>
  <c r="B257" i="17" s="1"/>
  <c r="B258" i="17" s="1"/>
  <c r="B259" i="17" s="1"/>
  <c r="B260" i="17" s="1"/>
  <c r="B192" i="15"/>
  <c r="B893" i="14"/>
  <c r="B894" i="14" s="1"/>
  <c r="B895" i="14" s="1"/>
  <c r="B896" i="14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<sst xmlns="http://schemas.openxmlformats.org/spreadsheetml/2006/main" count="43443" uniqueCount="1183">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</sst>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4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3" totalsRowShown="0">
  <autoFilter ref="A1:Y213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Row],[No用]],Q_Stat[],13,FALSE)-Statistics100!B$37)*5)/Statistics100!B$44))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Row],[No用]],Q_Stat[],15,FALSE)-Statistics100!D$37)*5)/Statistics100!D$44))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Row],[No用]],Q_Stat[],16,FALSE)-Statistics100!E$37)*5)/Statistics100!E$44))</calculatedColumnFormula>
    </tableColumn>
    <tableColumn id="13" xr3:uid="{8F73EB64-D2E6-46CF-8A3B-848C5CD8C6FB}" name="幸運" dataDxfId="54">
      <calculatedColumnFormula>IF(RZS_S[[#This Row],[名前]]="","",(100+((VLOOKUP(RZS_S[[#This Row],[No用]],Q_Stat[],17,FALSE)-Statistics100!F$37)*5)/Statistics100!F$44))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Row],[No用]],Q_Stat[],18,FALSE)-Statistics100!G$37)*5)/Statistics100!G$44))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Row],[No用]],Q_Stat[],19,FALSE)-Statistics100!H$37)*5)/Statistics100!H$44))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Row],[No用]],Q_Stat[],20,FALSE)-Statistics100!I$37)*5)/Statistics100!I$44))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Row],[No用]],Q_Stat[],21,FALSE)-Statistics100!J$37)*5)/Statistics100!J$44))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Row],[No用]],Q_Stat[],22,FALSE)-Statistics100!K$37)*5)/Statistics100!K$44))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Row],[No用]],Q_Stat[],25,FALSE)-Statistics100!L$37)*5)/Statistics100!L$44))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Row],[No用]],Q_Stat[],26,FALSE)-Statistics100!M$37)*5)/Statistics100!M$44))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Row],[No用]],Q_Stat[],27,FALSE)-Statistics100!N$37)*5)/Statistics100!N$44))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Row],[No用]],Q_Stat[],28,FALSE)-Statistics100!O$37)*5)/Statistics100!O$44))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Row],[No用]],Q_Stat[],29,FALSE)-Statistics100!P$37)*5)/Statistics100!P$44))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Row],[No用]],Q_Stat[],13,FALSE)-Statistics100!B$40)*5)/Statistics100!B$44))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Row],[No用]],Q_Stat[],14,FALSE)-Statistics100!C$40)*5)/Statistics100!C$44))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Row],[No用]],Q_Stat[],15,FALSE)-Statistics100!D$40)*5)/Statistics100!D$44))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Row],[No用]],Q_Stat[],16,FALSE)-Statistics100!E$40)*5)/Statistics100!E$44))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Row],[No用]],Q_Stat[],17,FALSE)-Statistics100!F$75)*5)/Statistics100!F$83)),100)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Row],[No用]],Q_Stat[],18,FALSE)-Statistics100!G$75)*5)/Statistics100!G$83)),100)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Row],[No用]],Q_Stat[],19,FALSE)-Statistics100!H$40)*5)/Statistics100!H$44))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Row],[No用]],Q_Stat[],20,FALSE)-Statistics100!I$40)*5)/Statistics100!I$44))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Row],[No用]],Q_Stat[],21,FALSE)-Statistics100!J$40)*5)/Statistics100!J$44))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Row],[No用]],Q_Stat[],22,FALSE)-Statistics100!K$40)*5)/Statistics100!K$44))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Row],[No用]],Q_Stat[],25,FALSE)-Statistics100!L$40)*5)/Statistics100!L$44))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Row],[No用]],Q_Stat[],26,FALSE)-Statistics100!M$40)*5)/Statistics100!M$44))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Row],[No用]],Q_Stat[],27,FALSE)-Statistics100!N$40)*5)/Statistics100!N$44))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Row],[No用]],Q_Stat[],28,FALSE)-Statistics100!O$40)*5)/Statistics100!O$44))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Row],[No用]],Q_Stat[],29,FALSE)-Statistics100!P$40)*5)/Statistics100!P$44))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3" tableType="queryTable" totalsRowShown="0">
  <autoFilter ref="A1:AE213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5" tableType="queryTable" totalsRowShown="0">
  <autoFilter ref="A1:AA95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4" totalsRowShown="0">
  <autoFilter ref="A1:T24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29" totalsRowShown="0">
  <autoFilter ref="A1:T12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04" totalsRowShown="0">
  <autoFilter ref="A1:T60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49" totalsRowShown="0">
  <autoFilter ref="A1:T849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96" totalsRowShown="0">
  <autoFilter ref="A1:T79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50" totalsRowShown="0">
  <autoFilter ref="A1:T35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3" totalsRowShown="0">
  <autoFilter ref="A1:X213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5" totalsRowShown="0">
  <autoFilter ref="A1:X95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0"/>
  <sheetViews>
    <sheetView tabSelected="1" workbookViewId="0">
      <pane ySplit="1" topLeftCell="A150" activePane="bottomLeft" state="frozen"/>
      <selection pane="bottomLeft" activeCell="A174" sqref="A174:XFD174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6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4" si="1">SUM(L3:O3)</f>
        <v>459</v>
      </c>
      <c r="W3" s="8">
        <f t="shared" ref="W3:W84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108</v>
      </c>
      <c r="C33" s="1" t="s">
        <v>145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127</v>
      </c>
      <c r="M33" s="1">
        <v>125</v>
      </c>
      <c r="N33" s="1">
        <v>113</v>
      </c>
      <c r="O33" s="1">
        <v>120</v>
      </c>
      <c r="P33" s="1">
        <v>97</v>
      </c>
      <c r="Q33" s="1">
        <v>121</v>
      </c>
      <c r="R33" s="1">
        <v>115</v>
      </c>
      <c r="S33" s="1">
        <v>115</v>
      </c>
      <c r="T33" s="1">
        <v>114</v>
      </c>
      <c r="U33" s="1">
        <v>29</v>
      </c>
      <c r="V33" s="4">
        <f t="shared" si="1"/>
        <v>485</v>
      </c>
      <c r="W33" s="8">
        <f t="shared" si="2"/>
        <v>465</v>
      </c>
      <c r="X33" s="5" t="str">
        <f>Stat[[#This Row],[服装]]&amp;Stat[[#This Row],[名前]]&amp;Stat[[#This Row],[レアリティ]]</f>
        <v>ユニフォーム東峰旭ICONIC</v>
      </c>
      <c r="Y33" s="5" t="s">
        <v>297</v>
      </c>
    </row>
    <row r="34" spans="1:25" ht="15.9" customHeight="1" x14ac:dyDescent="0.35">
      <c r="A34" s="1">
        <f t="shared" si="0"/>
        <v>33</v>
      </c>
      <c r="B34" s="1" t="s">
        <v>117</v>
      </c>
      <c r="C34" s="1" t="s">
        <v>145</v>
      </c>
      <c r="D34" s="1" t="s">
        <v>73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78</v>
      </c>
      <c r="L34" s="1">
        <v>124</v>
      </c>
      <c r="M34" s="1">
        <v>124</v>
      </c>
      <c r="N34" s="1">
        <v>110</v>
      </c>
      <c r="O34" s="1">
        <v>119</v>
      </c>
      <c r="P34" s="1">
        <v>97</v>
      </c>
      <c r="Q34" s="1">
        <v>118</v>
      </c>
      <c r="R34" s="1">
        <v>112</v>
      </c>
      <c r="S34" s="1">
        <v>112</v>
      </c>
      <c r="T34" s="1">
        <v>111</v>
      </c>
      <c r="U34" s="1">
        <v>29</v>
      </c>
      <c r="V34" s="4">
        <f t="shared" si="1"/>
        <v>477</v>
      </c>
      <c r="W34" s="8">
        <f t="shared" si="2"/>
        <v>453</v>
      </c>
      <c r="X34" s="5" t="str">
        <f>Stat[[#This Row],[服装]]&amp;Stat[[#This Row],[名前]]&amp;Stat[[#This Row],[レアリティ]]</f>
        <v>プール掃除東峰旭ICONIC</v>
      </c>
      <c r="Y34" s="5" t="s">
        <v>297</v>
      </c>
    </row>
    <row r="35" spans="1:25" ht="15.9" customHeight="1" x14ac:dyDescent="0.35">
      <c r="A35" s="1">
        <f>ROW()-1</f>
        <v>34</v>
      </c>
      <c r="B35" s="1" t="s">
        <v>1049</v>
      </c>
      <c r="C35" s="1" t="s">
        <v>145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133</v>
      </c>
      <c r="M35" s="1">
        <v>125</v>
      </c>
      <c r="N35" s="1">
        <v>114</v>
      </c>
      <c r="O35" s="1">
        <v>118</v>
      </c>
      <c r="P35" s="1">
        <v>97</v>
      </c>
      <c r="Q35" s="1">
        <v>123</v>
      </c>
      <c r="R35" s="1">
        <v>116</v>
      </c>
      <c r="S35" s="1">
        <v>120</v>
      </c>
      <c r="T35" s="1">
        <v>115</v>
      </c>
      <c r="U35" s="1">
        <v>29</v>
      </c>
      <c r="V35" s="4">
        <f>SUM(L35:O35)</f>
        <v>490</v>
      </c>
      <c r="W35" s="8">
        <f>SUM(Q35:T35)</f>
        <v>474</v>
      </c>
      <c r="X35" s="5" t="str">
        <f>Stat[[#This Row],[服装]]&amp;Stat[[#This Row],[名前]]&amp;Stat[[#This Row],[レアリティ]]</f>
        <v>サバゲ東峰旭ICONIC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151</v>
      </c>
      <c r="H36" s="1">
        <v>99</v>
      </c>
      <c r="I36" s="6" t="s">
        <v>22</v>
      </c>
      <c r="J36" s="1">
        <v>5</v>
      </c>
      <c r="K36" s="1">
        <v>80</v>
      </c>
      <c r="L36" s="1">
        <v>128</v>
      </c>
      <c r="M36" s="1">
        <v>128</v>
      </c>
      <c r="N36" s="1">
        <v>112</v>
      </c>
      <c r="O36" s="1">
        <v>123</v>
      </c>
      <c r="P36" s="1">
        <v>97</v>
      </c>
      <c r="Q36" s="1">
        <v>120</v>
      </c>
      <c r="R36" s="1">
        <v>114</v>
      </c>
      <c r="S36" s="1">
        <v>114</v>
      </c>
      <c r="T36" s="1">
        <v>113</v>
      </c>
      <c r="U36" s="1">
        <v>29</v>
      </c>
      <c r="V36" s="4">
        <f t="shared" si="1"/>
        <v>491</v>
      </c>
      <c r="W36" s="8">
        <f t="shared" si="2"/>
        <v>461</v>
      </c>
      <c r="X36" s="5" t="str">
        <f>Stat[[#This Row],[服装]]&amp;Stat[[#This Row],[名前]]&amp;Stat[[#This Row],[レアリティ]]</f>
        <v>ユニフォーム東峰旭YELL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146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113</v>
      </c>
      <c r="M37" s="1">
        <v>115</v>
      </c>
      <c r="N37" s="1">
        <v>111</v>
      </c>
      <c r="O37" s="1">
        <v>120</v>
      </c>
      <c r="P37" s="1">
        <v>99</v>
      </c>
      <c r="Q37" s="1">
        <v>113</v>
      </c>
      <c r="R37" s="1">
        <v>120</v>
      </c>
      <c r="S37" s="1">
        <v>114</v>
      </c>
      <c r="T37" s="1">
        <v>114</v>
      </c>
      <c r="U37" s="1">
        <v>41</v>
      </c>
      <c r="V37" s="4">
        <f t="shared" si="1"/>
        <v>459</v>
      </c>
      <c r="W37" s="8">
        <f t="shared" si="2"/>
        <v>461</v>
      </c>
      <c r="X37" s="5" t="str">
        <f>Stat[[#This Row],[服装]]&amp;Stat[[#This Row],[名前]]&amp;Stat[[#This Row],[レアリティ]]</f>
        <v>ユニフォーム縁下力ICONIC</v>
      </c>
      <c r="Y37" s="5" t="s">
        <v>298</v>
      </c>
    </row>
    <row r="38" spans="1:25" ht="15.9" customHeight="1" x14ac:dyDescent="0.35">
      <c r="A38" s="1">
        <f t="shared" si="0"/>
        <v>37</v>
      </c>
      <c r="B38" s="1" t="s">
        <v>386</v>
      </c>
      <c r="C38" s="1" t="s">
        <v>146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116</v>
      </c>
      <c r="M38" s="1">
        <v>118</v>
      </c>
      <c r="N38" s="1">
        <v>113</v>
      </c>
      <c r="O38" s="1">
        <v>121</v>
      </c>
      <c r="P38" s="1">
        <v>99</v>
      </c>
      <c r="Q38" s="1">
        <v>114</v>
      </c>
      <c r="R38" s="1">
        <v>121</v>
      </c>
      <c r="S38" s="1">
        <v>117</v>
      </c>
      <c r="T38" s="1">
        <v>115</v>
      </c>
      <c r="U38" s="1">
        <v>41</v>
      </c>
      <c r="V38" s="4">
        <f t="shared" si="1"/>
        <v>468</v>
      </c>
      <c r="W38" s="8">
        <f t="shared" si="2"/>
        <v>467</v>
      </c>
      <c r="X38" s="5" t="str">
        <f>Stat[[#This Row],[服装]]&amp;Stat[[#This Row],[名前]]&amp;Stat[[#This Row],[レアリティ]]</f>
        <v>探偵縁下力ICONIC</v>
      </c>
      <c r="Y38" s="5" t="s">
        <v>298</v>
      </c>
    </row>
    <row r="39" spans="1:25" ht="15.9" customHeight="1" x14ac:dyDescent="0.35">
      <c r="A39" s="1">
        <f>ROW()-1</f>
        <v>38</v>
      </c>
      <c r="B39" s="1" t="s">
        <v>1071</v>
      </c>
      <c r="C39" s="1" t="s">
        <v>146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114</v>
      </c>
      <c r="M39" s="1">
        <v>119</v>
      </c>
      <c r="N39" s="1">
        <v>111</v>
      </c>
      <c r="O39" s="1">
        <v>122</v>
      </c>
      <c r="P39" s="1">
        <v>99</v>
      </c>
      <c r="Q39" s="1">
        <v>113</v>
      </c>
      <c r="R39" s="1">
        <v>123</v>
      </c>
      <c r="S39" s="1">
        <v>116</v>
      </c>
      <c r="T39" s="1">
        <v>117</v>
      </c>
      <c r="U39" s="1">
        <v>41</v>
      </c>
      <c r="V39" s="4">
        <f>SUM(L39:O39)</f>
        <v>466</v>
      </c>
      <c r="W39" s="8">
        <f>SUM(Q39:T39)</f>
        <v>469</v>
      </c>
      <c r="X39" s="5" t="str">
        <f>Stat[[#This Row],[服装]]&amp;Stat[[#This Row],[名前]]&amp;Stat[[#This Row],[レアリティ]]</f>
        <v>RPG縁下力ICONIC</v>
      </c>
      <c r="Y39" s="5" t="s">
        <v>298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147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117</v>
      </c>
      <c r="M40" s="1">
        <v>122</v>
      </c>
      <c r="N40" s="1">
        <v>113</v>
      </c>
      <c r="O40" s="1">
        <v>117</v>
      </c>
      <c r="P40" s="1">
        <v>101</v>
      </c>
      <c r="Q40" s="1">
        <v>115</v>
      </c>
      <c r="R40" s="1">
        <v>115</v>
      </c>
      <c r="S40" s="1">
        <v>115</v>
      </c>
      <c r="T40" s="1">
        <v>115</v>
      </c>
      <c r="U40" s="1">
        <v>31</v>
      </c>
      <c r="V40" s="4">
        <f t="shared" si="1"/>
        <v>469</v>
      </c>
      <c r="W40" s="8">
        <f t="shared" si="2"/>
        <v>460</v>
      </c>
      <c r="X40" s="5" t="str">
        <f>Stat[[#This Row],[服装]]&amp;Stat[[#This Row],[名前]]&amp;Stat[[#This Row],[レアリティ]]</f>
        <v>ユニフォーム木下久志ICONIC</v>
      </c>
      <c r="Y40" s="5" t="s">
        <v>299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148</v>
      </c>
      <c r="D41" s="1" t="s">
        <v>90</v>
      </c>
      <c r="E41" s="1" t="s">
        <v>82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116</v>
      </c>
      <c r="N41" s="1">
        <v>112</v>
      </c>
      <c r="O41" s="1">
        <v>123</v>
      </c>
      <c r="P41" s="1">
        <v>101</v>
      </c>
      <c r="Q41" s="1">
        <v>119</v>
      </c>
      <c r="R41" s="1">
        <v>113</v>
      </c>
      <c r="S41" s="1">
        <v>114</v>
      </c>
      <c r="T41" s="1">
        <v>114</v>
      </c>
      <c r="U41" s="1">
        <v>31</v>
      </c>
      <c r="V41" s="4">
        <f t="shared" si="1"/>
        <v>464</v>
      </c>
      <c r="W41" s="8">
        <f t="shared" si="2"/>
        <v>460</v>
      </c>
      <c r="X41" s="5" t="str">
        <f>Stat[[#This Row],[服装]]&amp;Stat[[#This Row],[名前]]&amp;Stat[[#This Row],[レアリティ]]</f>
        <v>ユニフォーム成田一仁ICONIC</v>
      </c>
      <c r="Y41" s="5" t="s">
        <v>300</v>
      </c>
    </row>
    <row r="42" spans="1:25" ht="15" x14ac:dyDescent="0.35">
      <c r="A42" s="1">
        <f t="shared" si="0"/>
        <v>41</v>
      </c>
      <c r="B42" s="1" t="s">
        <v>108</v>
      </c>
      <c r="C42" s="1" t="s">
        <v>39</v>
      </c>
      <c r="D42" s="1" t="s">
        <v>24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113</v>
      </c>
      <c r="M42" s="1">
        <v>115</v>
      </c>
      <c r="N42" s="1">
        <v>127</v>
      </c>
      <c r="O42" s="1">
        <v>129</v>
      </c>
      <c r="P42" s="1">
        <v>101</v>
      </c>
      <c r="Q42" s="1">
        <v>113</v>
      </c>
      <c r="R42" s="1">
        <v>117</v>
      </c>
      <c r="S42" s="1">
        <v>113</v>
      </c>
      <c r="T42" s="1">
        <v>115</v>
      </c>
      <c r="U42" s="1">
        <v>41</v>
      </c>
      <c r="V42" s="4">
        <f t="shared" si="1"/>
        <v>484</v>
      </c>
      <c r="W42" s="8">
        <f t="shared" si="2"/>
        <v>458</v>
      </c>
      <c r="X42" s="5" t="str">
        <f>Stat[[#This Row],[服装]]&amp;Stat[[#This Row],[名前]]&amp;Stat[[#This Row],[レアリティ]]</f>
        <v>ユニフォーム孤爪研磨ICONIC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149</v>
      </c>
      <c r="C43" s="1" t="s">
        <v>39</v>
      </c>
      <c r="D43" s="1" t="s">
        <v>90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114</v>
      </c>
      <c r="M43" s="1">
        <v>118</v>
      </c>
      <c r="N43" s="1">
        <v>130</v>
      </c>
      <c r="O43" s="1">
        <v>132</v>
      </c>
      <c r="P43" s="1">
        <v>101</v>
      </c>
      <c r="Q43" s="1">
        <v>114</v>
      </c>
      <c r="R43" s="1">
        <v>118</v>
      </c>
      <c r="S43" s="1">
        <v>114</v>
      </c>
      <c r="T43" s="1">
        <v>116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制服孤爪研磨ICONIC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150</v>
      </c>
      <c r="C44" s="1" t="s">
        <v>39</v>
      </c>
      <c r="D44" s="1" t="s">
        <v>77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112</v>
      </c>
      <c r="M44" s="1">
        <v>118</v>
      </c>
      <c r="N44" s="1">
        <v>132</v>
      </c>
      <c r="O44" s="1">
        <v>132</v>
      </c>
      <c r="P44" s="1">
        <v>101</v>
      </c>
      <c r="Q44" s="1">
        <v>112</v>
      </c>
      <c r="R44" s="1">
        <v>120</v>
      </c>
      <c r="S44" s="1">
        <v>112</v>
      </c>
      <c r="T44" s="1">
        <v>118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夏祭り孤爪研磨ICONIC</v>
      </c>
      <c r="Y44" s="5" t="s">
        <v>301</v>
      </c>
    </row>
    <row r="45" spans="1:25" ht="15" x14ac:dyDescent="0.35">
      <c r="A45" s="1">
        <f>ROW()-1</f>
        <v>44</v>
      </c>
      <c r="B45" s="1" t="s">
        <v>1001</v>
      </c>
      <c r="C45" s="1" t="s">
        <v>39</v>
      </c>
      <c r="D45" s="1" t="s">
        <v>73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81</v>
      </c>
      <c r="L45" s="1">
        <v>115</v>
      </c>
      <c r="M45" s="1">
        <v>120</v>
      </c>
      <c r="N45" s="1">
        <v>133</v>
      </c>
      <c r="O45" s="1">
        <v>134</v>
      </c>
      <c r="P45" s="1">
        <v>101</v>
      </c>
      <c r="Q45" s="1">
        <v>115</v>
      </c>
      <c r="R45" s="1">
        <v>118</v>
      </c>
      <c r="S45" s="1">
        <v>115</v>
      </c>
      <c r="T45" s="1">
        <v>116</v>
      </c>
      <c r="U45" s="1">
        <v>41</v>
      </c>
      <c r="V45" s="4">
        <f>SUM(L45:O45)</f>
        <v>502</v>
      </c>
      <c r="W45" s="8">
        <f>SUM(Q45:T45)</f>
        <v>464</v>
      </c>
      <c r="X45" s="5" t="str">
        <f>Stat[[#This Row],[服装]]&amp;Stat[[#This Row],[名前]]&amp;Stat[[#This Row],[レアリティ]]</f>
        <v>1周年孤爪研磨ICONIC</v>
      </c>
      <c r="Y45" s="5" t="s">
        <v>301</v>
      </c>
    </row>
    <row r="46" spans="1:25" ht="15" x14ac:dyDescent="0.35">
      <c r="A46" s="1">
        <f t="shared" si="0"/>
        <v>45</v>
      </c>
      <c r="B46" s="1" t="s">
        <v>108</v>
      </c>
      <c r="C46" s="1" t="s">
        <v>40</v>
      </c>
      <c r="D46" s="1" t="s">
        <v>23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126</v>
      </c>
      <c r="M46" s="1">
        <v>121</v>
      </c>
      <c r="N46" s="1">
        <v>114</v>
      </c>
      <c r="O46" s="1">
        <v>119</v>
      </c>
      <c r="P46" s="1">
        <v>101</v>
      </c>
      <c r="Q46" s="1">
        <v>129</v>
      </c>
      <c r="R46" s="1">
        <v>117</v>
      </c>
      <c r="S46" s="1">
        <v>116</v>
      </c>
      <c r="T46" s="1">
        <v>115</v>
      </c>
      <c r="U46" s="1">
        <v>36</v>
      </c>
      <c r="V46" s="4">
        <f t="shared" si="1"/>
        <v>480</v>
      </c>
      <c r="W46" s="8">
        <f t="shared" si="2"/>
        <v>477</v>
      </c>
      <c r="X46" s="5" t="str">
        <f>Stat[[#This Row],[服装]]&amp;Stat[[#This Row],[名前]]&amp;Stat[[#This Row],[レアリティ]]</f>
        <v>ユニフォーム黒尾鉄朗ICONIC</v>
      </c>
      <c r="Y46" s="5" t="s">
        <v>302</v>
      </c>
    </row>
    <row r="47" spans="1:25" ht="15" x14ac:dyDescent="0.35">
      <c r="A47" s="1">
        <f t="shared" ref="A47:A94" si="3">ROW()-1</f>
        <v>46</v>
      </c>
      <c r="B47" s="1" t="s">
        <v>149</v>
      </c>
      <c r="C47" s="1" t="s">
        <v>40</v>
      </c>
      <c r="D47" s="1" t="s">
        <v>73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129</v>
      </c>
      <c r="M47" s="1">
        <v>122</v>
      </c>
      <c r="N47" s="1">
        <v>115</v>
      </c>
      <c r="O47" s="1">
        <v>120</v>
      </c>
      <c r="P47" s="1">
        <v>101</v>
      </c>
      <c r="Q47" s="1">
        <v>132</v>
      </c>
      <c r="R47" s="1">
        <v>118</v>
      </c>
      <c r="S47" s="1">
        <v>119</v>
      </c>
      <c r="T47" s="1">
        <v>116</v>
      </c>
      <c r="U47" s="1">
        <v>36</v>
      </c>
      <c r="V47" s="4">
        <f t="shared" si="1"/>
        <v>486</v>
      </c>
      <c r="W47" s="8">
        <f t="shared" si="2"/>
        <v>485</v>
      </c>
      <c r="X47" s="5" t="str">
        <f>Stat[[#This Row],[服装]]&amp;Stat[[#This Row],[名前]]&amp;Stat[[#This Row],[レアリティ]]</f>
        <v>制服黒尾鉄朗ICONIC</v>
      </c>
      <c r="Y47" s="5" t="s">
        <v>302</v>
      </c>
    </row>
    <row r="48" spans="1:25" ht="15" x14ac:dyDescent="0.35">
      <c r="A48" s="1">
        <f t="shared" si="3"/>
        <v>47</v>
      </c>
      <c r="B48" s="1" t="s">
        <v>150</v>
      </c>
      <c r="C48" s="1" t="s">
        <v>40</v>
      </c>
      <c r="D48" s="1" t="s">
        <v>90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131</v>
      </c>
      <c r="M48" s="1">
        <v>125</v>
      </c>
      <c r="N48" s="1">
        <v>115</v>
      </c>
      <c r="O48" s="1">
        <v>123</v>
      </c>
      <c r="P48" s="1">
        <v>101</v>
      </c>
      <c r="Q48" s="1">
        <v>129</v>
      </c>
      <c r="R48" s="1">
        <v>118</v>
      </c>
      <c r="S48" s="1">
        <v>116</v>
      </c>
      <c r="T48" s="1">
        <v>114</v>
      </c>
      <c r="U48" s="1">
        <v>36</v>
      </c>
      <c r="V48" s="4">
        <f t="shared" si="1"/>
        <v>494</v>
      </c>
      <c r="W48" s="8">
        <f t="shared" si="2"/>
        <v>477</v>
      </c>
      <c r="X48" s="5" t="str">
        <f>Stat[[#This Row],[服装]]&amp;Stat[[#This Row],[名前]]&amp;Stat[[#This Row],[レアリティ]]</f>
        <v>夏祭り黒尾鉄朗ICONIC</v>
      </c>
      <c r="Y48" s="5" t="s">
        <v>302</v>
      </c>
    </row>
    <row r="49" spans="1:25" ht="15" x14ac:dyDescent="0.35">
      <c r="A49" s="1">
        <f>ROW()-1</f>
        <v>48</v>
      </c>
      <c r="B49" s="1" t="s">
        <v>1001</v>
      </c>
      <c r="C49" s="1" t="s">
        <v>40</v>
      </c>
      <c r="D49" s="1" t="s">
        <v>77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132</v>
      </c>
      <c r="M49" s="1">
        <v>119</v>
      </c>
      <c r="N49" s="1">
        <v>115</v>
      </c>
      <c r="O49" s="1">
        <v>120</v>
      </c>
      <c r="P49" s="1">
        <v>101</v>
      </c>
      <c r="Q49" s="1">
        <v>129</v>
      </c>
      <c r="R49" s="1">
        <v>121</v>
      </c>
      <c r="S49" s="1">
        <v>117</v>
      </c>
      <c r="T49" s="1">
        <v>118</v>
      </c>
      <c r="U49" s="1">
        <v>36</v>
      </c>
      <c r="V49" s="4">
        <f>SUM(L49:O49)</f>
        <v>486</v>
      </c>
      <c r="W49" s="8">
        <f>SUM(Q49:T49)</f>
        <v>485</v>
      </c>
      <c r="X49" s="5" t="str">
        <f>Stat[[#This Row],[服装]]&amp;Stat[[#This Row],[名前]]&amp;Stat[[#This Row],[レアリティ]]</f>
        <v>1周年黒尾鉄朗ICONIC</v>
      </c>
      <c r="Y49" s="5" t="s">
        <v>302</v>
      </c>
    </row>
    <row r="50" spans="1:25" ht="15" x14ac:dyDescent="0.35">
      <c r="A50" s="1">
        <f t="shared" si="3"/>
        <v>49</v>
      </c>
      <c r="B50" s="1" t="s">
        <v>108</v>
      </c>
      <c r="C50" s="1" t="s">
        <v>41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73</v>
      </c>
      <c r="L50" s="1">
        <v>117</v>
      </c>
      <c r="M50" s="1">
        <v>114</v>
      </c>
      <c r="N50" s="1">
        <v>113</v>
      </c>
      <c r="O50" s="1">
        <v>118</v>
      </c>
      <c r="P50" s="1">
        <v>97</v>
      </c>
      <c r="Q50" s="1">
        <v>123</v>
      </c>
      <c r="R50" s="1">
        <v>115</v>
      </c>
      <c r="S50" s="1">
        <v>115</v>
      </c>
      <c r="T50" s="1">
        <v>115</v>
      </c>
      <c r="U50" s="1">
        <v>27</v>
      </c>
      <c r="V50" s="4">
        <f t="shared" si="1"/>
        <v>462</v>
      </c>
      <c r="W50" s="8">
        <f t="shared" si="2"/>
        <v>468</v>
      </c>
      <c r="X50" s="5" t="str">
        <f>Stat[[#This Row],[服装]]&amp;Stat[[#This Row],[名前]]&amp;Stat[[#This Row],[レアリティ]]</f>
        <v>ユニフォーム灰羽リエーフICONIC</v>
      </c>
      <c r="Y50" s="5" t="s">
        <v>303</v>
      </c>
    </row>
    <row r="51" spans="1:25" ht="15" x14ac:dyDescent="0.35">
      <c r="A51" s="1">
        <f t="shared" si="3"/>
        <v>50</v>
      </c>
      <c r="B51" s="1" t="s">
        <v>386</v>
      </c>
      <c r="C51" s="1" t="s">
        <v>41</v>
      </c>
      <c r="D51" s="1" t="s">
        <v>90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120</v>
      </c>
      <c r="M51" s="1">
        <v>115</v>
      </c>
      <c r="N51" s="1">
        <v>114</v>
      </c>
      <c r="O51" s="1">
        <v>119</v>
      </c>
      <c r="P51" s="1">
        <v>97</v>
      </c>
      <c r="Q51" s="1">
        <v>126</v>
      </c>
      <c r="R51" s="1">
        <v>116</v>
      </c>
      <c r="S51" s="1">
        <v>118</v>
      </c>
      <c r="T51" s="1">
        <v>116</v>
      </c>
      <c r="U51" s="1">
        <v>27</v>
      </c>
      <c r="V51" s="4">
        <f t="shared" si="1"/>
        <v>468</v>
      </c>
      <c r="W51" s="8">
        <f t="shared" si="2"/>
        <v>476</v>
      </c>
      <c r="X51" s="5" t="str">
        <f>Stat[[#This Row],[服装]]&amp;Stat[[#This Row],[名前]]&amp;Stat[[#This Row],[レアリティ]]</f>
        <v>探偵灰羽リエーフICONIC</v>
      </c>
      <c r="Y51" s="5" t="s">
        <v>303</v>
      </c>
    </row>
    <row r="52" spans="1:25" ht="15" x14ac:dyDescent="0.35">
      <c r="A52" s="1">
        <f>ROW()-1</f>
        <v>51</v>
      </c>
      <c r="B52" s="1" t="s">
        <v>1122</v>
      </c>
      <c r="C52" s="1" t="s">
        <v>41</v>
      </c>
      <c r="D52" s="1" t="s">
        <v>77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123</v>
      </c>
      <c r="M52" s="1">
        <v>113</v>
      </c>
      <c r="N52" s="1">
        <v>114</v>
      </c>
      <c r="O52" s="1">
        <v>117</v>
      </c>
      <c r="P52" s="1">
        <v>97</v>
      </c>
      <c r="Q52" s="1">
        <v>128</v>
      </c>
      <c r="R52" s="1">
        <v>115</v>
      </c>
      <c r="S52" s="1">
        <v>120</v>
      </c>
      <c r="T52" s="1">
        <v>115</v>
      </c>
      <c r="U52" s="1">
        <v>27</v>
      </c>
      <c r="V52" s="4">
        <f>SUM(L52:O52)</f>
        <v>467</v>
      </c>
      <c r="W52" s="8">
        <f>SUM(Q52:T52)</f>
        <v>478</v>
      </c>
      <c r="X52" s="5" t="str">
        <f>Stat[[#This Row],[服装]]&amp;Stat[[#This Row],[名前]]&amp;Stat[[#This Row],[レアリティ]]</f>
        <v>路地裏灰羽リエーフICONIC</v>
      </c>
      <c r="Y52" s="5" t="s">
        <v>303</v>
      </c>
    </row>
    <row r="53" spans="1:25" ht="15" x14ac:dyDescent="0.35">
      <c r="A53" s="1">
        <f t="shared" si="3"/>
        <v>52</v>
      </c>
      <c r="B53" s="1" t="s">
        <v>108</v>
      </c>
      <c r="C53" s="1" t="s">
        <v>42</v>
      </c>
      <c r="D53" s="1" t="s">
        <v>24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84</v>
      </c>
      <c r="L53" s="1">
        <v>118</v>
      </c>
      <c r="M53" s="1">
        <v>111</v>
      </c>
      <c r="N53" s="1">
        <v>116</v>
      </c>
      <c r="O53" s="1">
        <v>124</v>
      </c>
      <c r="P53" s="1">
        <v>101</v>
      </c>
      <c r="Q53" s="1">
        <v>110</v>
      </c>
      <c r="R53" s="1">
        <v>130</v>
      </c>
      <c r="S53" s="1">
        <v>116</v>
      </c>
      <c r="T53" s="1">
        <v>122</v>
      </c>
      <c r="U53" s="1">
        <v>36</v>
      </c>
      <c r="V53" s="4">
        <f t="shared" si="1"/>
        <v>469</v>
      </c>
      <c r="W53" s="8">
        <f t="shared" si="2"/>
        <v>478</v>
      </c>
      <c r="X53" s="5" t="str">
        <f>Stat[[#This Row],[服装]]&amp;Stat[[#This Row],[名前]]&amp;Stat[[#This Row],[レアリティ]]</f>
        <v>ユニフォーム夜久衛輔ICONIC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1001</v>
      </c>
      <c r="C54" s="1" t="s">
        <v>42</v>
      </c>
      <c r="D54" s="1" t="s">
        <v>77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86</v>
      </c>
      <c r="L54" s="1">
        <v>119</v>
      </c>
      <c r="M54" s="1">
        <v>112</v>
      </c>
      <c r="N54" s="1">
        <v>119</v>
      </c>
      <c r="O54" s="1">
        <v>125</v>
      </c>
      <c r="P54" s="1">
        <v>101</v>
      </c>
      <c r="Q54" s="1">
        <v>111</v>
      </c>
      <c r="R54" s="1">
        <v>133</v>
      </c>
      <c r="S54" s="1">
        <v>117</v>
      </c>
      <c r="T54" s="1">
        <v>125</v>
      </c>
      <c r="U54" s="1">
        <v>36</v>
      </c>
      <c r="V54" s="4">
        <f t="shared" ref="V54" si="4">SUM(L54:O54)</f>
        <v>475</v>
      </c>
      <c r="W54" s="8">
        <f t="shared" ref="W54" si="5">SUM(Q54:T54)</f>
        <v>486</v>
      </c>
      <c r="X54" s="5" t="str">
        <f>Stat[[#This Row],[服装]]&amp;Stat[[#This Row],[名前]]&amp;Stat[[#This Row],[レアリティ]]</f>
        <v>1周年夜久衛輔ICONIC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108</v>
      </c>
      <c r="C55" s="1" t="s">
        <v>43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117</v>
      </c>
      <c r="M55" s="1">
        <v>113</v>
      </c>
      <c r="N55" s="1">
        <v>114</v>
      </c>
      <c r="O55" s="1">
        <v>115</v>
      </c>
      <c r="P55" s="1">
        <v>97</v>
      </c>
      <c r="Q55" s="1">
        <v>115</v>
      </c>
      <c r="R55" s="1">
        <v>116</v>
      </c>
      <c r="S55" s="1">
        <v>115</v>
      </c>
      <c r="T55" s="1">
        <v>115</v>
      </c>
      <c r="U55" s="1">
        <v>29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ユニフォーム福永招平ICONIC</v>
      </c>
      <c r="Y55" s="5" t="s">
        <v>304</v>
      </c>
    </row>
    <row r="56" spans="1:25" ht="15" x14ac:dyDescent="0.35">
      <c r="A56" s="1">
        <f>ROW()-1</f>
        <v>55</v>
      </c>
      <c r="B56" s="1" t="s">
        <v>1165</v>
      </c>
      <c r="C56" s="1" t="s">
        <v>43</v>
      </c>
      <c r="D56" s="1" t="s">
        <v>77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120</v>
      </c>
      <c r="M56" s="1">
        <v>116</v>
      </c>
      <c r="N56" s="1">
        <v>115</v>
      </c>
      <c r="O56" s="1">
        <v>116</v>
      </c>
      <c r="P56" s="1">
        <v>97</v>
      </c>
      <c r="Q56" s="1">
        <v>116</v>
      </c>
      <c r="R56" s="1">
        <v>117</v>
      </c>
      <c r="S56" s="1">
        <v>118</v>
      </c>
      <c r="T56" s="1">
        <v>116</v>
      </c>
      <c r="U56" s="1">
        <v>29</v>
      </c>
      <c r="V56" s="4">
        <f>SUM(L56:O56)</f>
        <v>467</v>
      </c>
      <c r="W56" s="8">
        <f>SUM(Q56:T56)</f>
        <v>467</v>
      </c>
      <c r="X56" s="5" t="str">
        <f>Stat[[#This Row],[服装]]&amp;Stat[[#This Row],[名前]]&amp;Stat[[#This Row],[レアリティ]]</f>
        <v>バーガー福永招平ICONIC</v>
      </c>
      <c r="Y56" s="5" t="s">
        <v>304</v>
      </c>
    </row>
    <row r="57" spans="1:25" ht="15" x14ac:dyDescent="0.35">
      <c r="A57" s="1">
        <f t="shared" si="3"/>
        <v>56</v>
      </c>
      <c r="B57" s="1" t="s">
        <v>108</v>
      </c>
      <c r="C57" s="1" t="s">
        <v>44</v>
      </c>
      <c r="D57" s="1" t="s">
        <v>24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115</v>
      </c>
      <c r="M57" s="1">
        <v>114</v>
      </c>
      <c r="N57" s="1">
        <v>113</v>
      </c>
      <c r="O57" s="1">
        <v>118</v>
      </c>
      <c r="P57" s="1">
        <v>97</v>
      </c>
      <c r="Q57" s="1">
        <v>121</v>
      </c>
      <c r="R57" s="1">
        <v>115</v>
      </c>
      <c r="S57" s="1">
        <v>116</v>
      </c>
      <c r="T57" s="1">
        <v>115</v>
      </c>
      <c r="U57" s="1">
        <v>36</v>
      </c>
      <c r="V57" s="4">
        <f t="shared" si="1"/>
        <v>460</v>
      </c>
      <c r="W57" s="8">
        <f t="shared" si="2"/>
        <v>467</v>
      </c>
      <c r="X57" s="5" t="str">
        <f>Stat[[#This Row],[服装]]&amp;Stat[[#This Row],[名前]]&amp;Stat[[#This Row],[レアリティ]]</f>
        <v>ユニフォーム犬岡走ICONIC</v>
      </c>
      <c r="Y57" s="5" t="s">
        <v>305</v>
      </c>
    </row>
    <row r="58" spans="1:25" ht="15" x14ac:dyDescent="0.35">
      <c r="A58" s="1">
        <f>ROW()-1</f>
        <v>57</v>
      </c>
      <c r="B58" s="1" t="s">
        <v>935</v>
      </c>
      <c r="C58" s="1" t="s">
        <v>44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76</v>
      </c>
      <c r="L58" s="1">
        <v>118</v>
      </c>
      <c r="M58" s="1">
        <v>115</v>
      </c>
      <c r="N58" s="1">
        <v>114</v>
      </c>
      <c r="O58" s="1">
        <v>119</v>
      </c>
      <c r="P58" s="1">
        <v>97</v>
      </c>
      <c r="Q58" s="1">
        <v>124</v>
      </c>
      <c r="R58" s="1">
        <v>116</v>
      </c>
      <c r="S58" s="1">
        <v>119</v>
      </c>
      <c r="T58" s="1">
        <v>116</v>
      </c>
      <c r="U58" s="1">
        <v>36</v>
      </c>
      <c r="V58" s="4">
        <f t="shared" si="1"/>
        <v>466</v>
      </c>
      <c r="W58" s="8">
        <f t="shared" si="2"/>
        <v>475</v>
      </c>
      <c r="X58" s="5" t="str">
        <f>Stat[[#This Row],[服装]]&amp;Stat[[#This Row],[名前]]&amp;Stat[[#This Row],[レアリティ]]</f>
        <v>新年犬岡走ICONIC</v>
      </c>
      <c r="Y58" s="5" t="s">
        <v>305</v>
      </c>
    </row>
    <row r="59" spans="1:25" ht="15" x14ac:dyDescent="0.35">
      <c r="A59" s="1">
        <f t="shared" si="3"/>
        <v>58</v>
      </c>
      <c r="B59" s="1" t="s">
        <v>108</v>
      </c>
      <c r="C59" s="1" t="s">
        <v>45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123</v>
      </c>
      <c r="M59" s="1">
        <v>120</v>
      </c>
      <c r="N59" s="1">
        <v>114</v>
      </c>
      <c r="O59" s="1">
        <v>122</v>
      </c>
      <c r="P59" s="1">
        <v>101</v>
      </c>
      <c r="Q59" s="1">
        <v>115</v>
      </c>
      <c r="R59" s="1">
        <v>116</v>
      </c>
      <c r="S59" s="1">
        <v>115</v>
      </c>
      <c r="T59" s="1">
        <v>115</v>
      </c>
      <c r="U59" s="1">
        <v>29</v>
      </c>
      <c r="V59" s="4">
        <f t="shared" si="1"/>
        <v>479</v>
      </c>
      <c r="W59" s="8">
        <f t="shared" si="2"/>
        <v>461</v>
      </c>
      <c r="X59" s="5" t="str">
        <f>Stat[[#This Row],[服装]]&amp;Stat[[#This Row],[名前]]&amp;Stat[[#This Row],[レアリティ]]</f>
        <v>ユニフォーム山本猛虎ICONIC</v>
      </c>
      <c r="Y59" s="5" t="s">
        <v>314</v>
      </c>
    </row>
    <row r="60" spans="1:25" ht="15" x14ac:dyDescent="0.35">
      <c r="A60" s="1">
        <f>ROW()-1</f>
        <v>59</v>
      </c>
      <c r="B60" s="1" t="s">
        <v>935</v>
      </c>
      <c r="C60" s="1" t="s">
        <v>45</v>
      </c>
      <c r="D60" s="1" t="s">
        <v>77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126</v>
      </c>
      <c r="M60" s="1">
        <v>122</v>
      </c>
      <c r="N60" s="1">
        <v>115</v>
      </c>
      <c r="O60" s="1">
        <v>123</v>
      </c>
      <c r="P60" s="1">
        <v>101</v>
      </c>
      <c r="Q60" s="1">
        <v>116</v>
      </c>
      <c r="R60" s="1">
        <v>117</v>
      </c>
      <c r="S60" s="1">
        <v>118</v>
      </c>
      <c r="T60" s="1">
        <v>116</v>
      </c>
      <c r="U60" s="1">
        <v>29</v>
      </c>
      <c r="V60" s="4">
        <f t="shared" si="1"/>
        <v>486</v>
      </c>
      <c r="W60" s="8">
        <f t="shared" si="2"/>
        <v>467</v>
      </c>
      <c r="X60" s="5" t="str">
        <f>Stat[[#This Row],[服装]]&amp;Stat[[#This Row],[名前]]&amp;Stat[[#This Row],[レアリティ]]</f>
        <v>新年山本猛虎ICONIC</v>
      </c>
      <c r="Y60" s="5" t="s">
        <v>314</v>
      </c>
    </row>
    <row r="61" spans="1:25" ht="15" x14ac:dyDescent="0.35">
      <c r="A61" s="1">
        <f t="shared" si="3"/>
        <v>60</v>
      </c>
      <c r="B61" s="1" t="s">
        <v>108</v>
      </c>
      <c r="C61" s="1" t="s">
        <v>46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115</v>
      </c>
      <c r="M61" s="1">
        <v>110</v>
      </c>
      <c r="N61" s="1">
        <v>113</v>
      </c>
      <c r="O61" s="1">
        <v>120</v>
      </c>
      <c r="P61" s="1">
        <v>97</v>
      </c>
      <c r="Q61" s="1">
        <v>110</v>
      </c>
      <c r="R61" s="1">
        <v>123</v>
      </c>
      <c r="S61" s="1">
        <v>119</v>
      </c>
      <c r="T61" s="1">
        <v>120</v>
      </c>
      <c r="U61" s="1">
        <v>33</v>
      </c>
      <c r="V61" s="4">
        <f t="shared" si="1"/>
        <v>458</v>
      </c>
      <c r="W61" s="8">
        <f t="shared" si="2"/>
        <v>472</v>
      </c>
      <c r="X61" s="5" t="str">
        <f>Stat[[#This Row],[服装]]&amp;Stat[[#This Row],[名前]]&amp;Stat[[#This Row],[レアリティ]]</f>
        <v>ユニフォーム芝山優生ICONIC</v>
      </c>
      <c r="Y61" s="5" t="s">
        <v>306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124</v>
      </c>
      <c r="M62" s="1">
        <v>121</v>
      </c>
      <c r="N62" s="1">
        <v>114</v>
      </c>
      <c r="O62" s="1">
        <v>122</v>
      </c>
      <c r="P62" s="1">
        <v>101</v>
      </c>
      <c r="Q62" s="1">
        <v>116</v>
      </c>
      <c r="R62" s="1">
        <v>118</v>
      </c>
      <c r="S62" s="1">
        <v>116</v>
      </c>
      <c r="T62" s="1">
        <v>116</v>
      </c>
      <c r="U62" s="1">
        <v>51</v>
      </c>
      <c r="V62" s="4">
        <f t="shared" si="1"/>
        <v>481</v>
      </c>
      <c r="W62" s="8">
        <f t="shared" si="2"/>
        <v>466</v>
      </c>
      <c r="X62" s="5" t="str">
        <f>Stat[[#This Row],[服装]]&amp;Stat[[#This Row],[名前]]&amp;Stat[[#This Row],[レアリティ]]</f>
        <v>ユニフォーム海信之ICONIC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90</v>
      </c>
      <c r="E63" s="1" t="s">
        <v>78</v>
      </c>
      <c r="F63" s="1" t="s">
        <v>27</v>
      </c>
      <c r="G63" s="1" t="s">
        <v>151</v>
      </c>
      <c r="H63" s="1">
        <v>99</v>
      </c>
      <c r="I63" s="6" t="s">
        <v>22</v>
      </c>
      <c r="J63" s="1">
        <v>5</v>
      </c>
      <c r="K63" s="1">
        <v>74</v>
      </c>
      <c r="L63" s="1">
        <v>120</v>
      </c>
      <c r="M63" s="1">
        <v>117</v>
      </c>
      <c r="N63" s="1">
        <v>110</v>
      </c>
      <c r="O63" s="1">
        <v>118</v>
      </c>
      <c r="P63" s="1">
        <v>99</v>
      </c>
      <c r="Q63" s="1">
        <v>112</v>
      </c>
      <c r="R63" s="1">
        <v>114</v>
      </c>
      <c r="S63" s="1">
        <v>112</v>
      </c>
      <c r="T63" s="1">
        <v>112</v>
      </c>
      <c r="U63" s="1">
        <v>49</v>
      </c>
      <c r="V63" s="4">
        <f t="shared" si="1"/>
        <v>465</v>
      </c>
      <c r="W63" s="8">
        <f t="shared" si="2"/>
        <v>450</v>
      </c>
      <c r="X63" s="5" t="str">
        <f>Stat[[#This Row],[服装]]&amp;Stat[[#This Row],[名前]]&amp;Stat[[#This Row],[レアリティ]]</f>
        <v>ユニフォーム海信之YELL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48</v>
      </c>
      <c r="D64" s="1" t="s">
        <v>23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125</v>
      </c>
      <c r="M64" s="1">
        <v>113</v>
      </c>
      <c r="N64" s="1">
        <v>112</v>
      </c>
      <c r="O64" s="1">
        <v>122</v>
      </c>
      <c r="P64" s="1">
        <v>97</v>
      </c>
      <c r="Q64" s="1">
        <v>130</v>
      </c>
      <c r="R64" s="1">
        <v>115</v>
      </c>
      <c r="S64" s="1">
        <v>116</v>
      </c>
      <c r="T64" s="1">
        <v>115</v>
      </c>
      <c r="U64" s="1">
        <v>31</v>
      </c>
      <c r="V64" s="4">
        <f t="shared" si="1"/>
        <v>472</v>
      </c>
      <c r="W64" s="8">
        <f t="shared" si="2"/>
        <v>476</v>
      </c>
      <c r="X64" s="5" t="str">
        <f>Stat[[#This Row],[服装]]&amp;Stat[[#This Row],[名前]]&amp;Stat[[#This Row],[レアリティ]]</f>
        <v>ユニフォーム青根高伸ICONIC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149</v>
      </c>
      <c r="C65" s="1" t="s">
        <v>48</v>
      </c>
      <c r="D65" s="1" t="s">
        <v>73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128</v>
      </c>
      <c r="M65" s="1">
        <v>114</v>
      </c>
      <c r="N65" s="1">
        <v>113</v>
      </c>
      <c r="O65" s="1">
        <v>123</v>
      </c>
      <c r="P65" s="1">
        <v>97</v>
      </c>
      <c r="Q65" s="1">
        <v>133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478</v>
      </c>
      <c r="W65" s="8">
        <f t="shared" si="2"/>
        <v>484</v>
      </c>
      <c r="X65" s="5" t="str">
        <f>Stat[[#This Row],[服装]]&amp;Stat[[#This Row],[名前]]&amp;Stat[[#This Row],[レアリティ]]</f>
        <v>制服青根高伸ICONIC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117</v>
      </c>
      <c r="C66" s="1" t="s">
        <v>48</v>
      </c>
      <c r="D66" s="1" t="s">
        <v>90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130</v>
      </c>
      <c r="M66" s="1">
        <v>114</v>
      </c>
      <c r="N66" s="1">
        <v>113</v>
      </c>
      <c r="O66" s="1">
        <v>123</v>
      </c>
      <c r="P66" s="1">
        <v>97</v>
      </c>
      <c r="Q66" s="1">
        <v>131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480</v>
      </c>
      <c r="W66" s="8">
        <f t="shared" si="2"/>
        <v>482</v>
      </c>
      <c r="X66" s="5" t="str">
        <f>Stat[[#This Row],[服装]]&amp;Stat[[#This Row],[名前]]&amp;Stat[[#This Row],[レアリティ]]</f>
        <v>プール掃除青根高伸ICONIC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108</v>
      </c>
      <c r="C67" s="1" t="s">
        <v>50</v>
      </c>
      <c r="D67" s="1" t="s">
        <v>28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124</v>
      </c>
      <c r="M67" s="1">
        <v>119</v>
      </c>
      <c r="N67" s="1">
        <v>114</v>
      </c>
      <c r="O67" s="1">
        <v>127</v>
      </c>
      <c r="P67" s="1">
        <v>101</v>
      </c>
      <c r="Q67" s="1">
        <v>127</v>
      </c>
      <c r="R67" s="1">
        <v>116</v>
      </c>
      <c r="S67" s="1">
        <v>116</v>
      </c>
      <c r="T67" s="1">
        <v>119</v>
      </c>
      <c r="U67" s="1">
        <v>36</v>
      </c>
      <c r="V67" s="4">
        <f t="shared" si="1"/>
        <v>484</v>
      </c>
      <c r="W67" s="8">
        <f t="shared" si="2"/>
        <v>478</v>
      </c>
      <c r="X67" s="5" t="str">
        <f>Stat[[#This Row],[服装]]&amp;Stat[[#This Row],[名前]]&amp;Stat[[#This Row],[レアリティ]]</f>
        <v>ユニフォーム二口堅治ICONIC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149</v>
      </c>
      <c r="C68" s="1" t="s">
        <v>50</v>
      </c>
      <c r="D68" s="1" t="s">
        <v>77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127</v>
      </c>
      <c r="M68" s="1">
        <v>122</v>
      </c>
      <c r="N68" s="1">
        <v>115</v>
      </c>
      <c r="O68" s="1">
        <v>128</v>
      </c>
      <c r="P68" s="1">
        <v>101</v>
      </c>
      <c r="Q68" s="1">
        <v>128</v>
      </c>
      <c r="R68" s="1">
        <v>117</v>
      </c>
      <c r="S68" s="1">
        <v>119</v>
      </c>
      <c r="T68" s="1">
        <v>120</v>
      </c>
      <c r="U68" s="1">
        <v>36</v>
      </c>
      <c r="V68" s="4">
        <f t="shared" si="1"/>
        <v>492</v>
      </c>
      <c r="W68" s="8">
        <f t="shared" si="2"/>
        <v>484</v>
      </c>
      <c r="X68" s="5" t="str">
        <f>Stat[[#This Row],[服装]]&amp;Stat[[#This Row],[名前]]&amp;Stat[[#This Row],[レアリティ]]</f>
        <v>制服二口堅治ICONIC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117</v>
      </c>
      <c r="C69" s="1" t="s">
        <v>50</v>
      </c>
      <c r="D69" s="1" t="s">
        <v>73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124</v>
      </c>
      <c r="M69" s="1">
        <v>119</v>
      </c>
      <c r="N69" s="1">
        <v>115</v>
      </c>
      <c r="O69" s="1">
        <v>126</v>
      </c>
      <c r="P69" s="1">
        <v>101</v>
      </c>
      <c r="Q69" s="1">
        <v>131</v>
      </c>
      <c r="R69" s="1">
        <v>120</v>
      </c>
      <c r="S69" s="1">
        <v>119</v>
      </c>
      <c r="T69" s="1">
        <v>122</v>
      </c>
      <c r="U69" s="1">
        <v>36</v>
      </c>
      <c r="V69" s="4">
        <f t="shared" si="1"/>
        <v>484</v>
      </c>
      <c r="W69" s="8">
        <f t="shared" si="2"/>
        <v>492</v>
      </c>
      <c r="X69" s="5" t="str">
        <f>Stat[[#This Row],[服装]]&amp;Stat[[#This Row],[名前]]&amp;Stat[[#This Row],[レアリティ]]</f>
        <v>プール掃除二口堅治ICONIC</v>
      </c>
      <c r="Y69" s="5" t="s">
        <v>309</v>
      </c>
    </row>
    <row r="70" spans="1:25" ht="15" x14ac:dyDescent="0.35">
      <c r="A70" s="1">
        <f>ROW()-1</f>
        <v>69</v>
      </c>
      <c r="B70" s="1" t="s">
        <v>1122</v>
      </c>
      <c r="C70" s="1" t="s">
        <v>50</v>
      </c>
      <c r="D70" s="1" t="s">
        <v>90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130</v>
      </c>
      <c r="M70" s="1">
        <v>120</v>
      </c>
      <c r="N70" s="1">
        <v>115</v>
      </c>
      <c r="O70" s="1">
        <v>126</v>
      </c>
      <c r="P70" s="1">
        <v>101</v>
      </c>
      <c r="Q70" s="1">
        <v>130</v>
      </c>
      <c r="R70" s="1">
        <v>116</v>
      </c>
      <c r="S70" s="1">
        <v>121</v>
      </c>
      <c r="T70" s="1">
        <v>119</v>
      </c>
      <c r="U70" s="1">
        <v>39</v>
      </c>
      <c r="V70" s="4">
        <f>SUM(L70:O70)</f>
        <v>491</v>
      </c>
      <c r="W70" s="8">
        <f>SUM(Q70:T70)</f>
        <v>486</v>
      </c>
      <c r="X70" s="5" t="str">
        <f>Stat[[#This Row],[服装]]&amp;Stat[[#This Row],[名前]]&amp;Stat[[#This Row],[レアリティ]]</f>
        <v>路地裏二口堅治ICONIC</v>
      </c>
      <c r="Y70" s="5" t="s">
        <v>309</v>
      </c>
    </row>
    <row r="71" spans="1:25" ht="15" x14ac:dyDescent="0.35">
      <c r="A71" s="1">
        <f t="shared" si="3"/>
        <v>70</v>
      </c>
      <c r="B71" s="1" t="s">
        <v>108</v>
      </c>
      <c r="C71" s="1" t="s">
        <v>384</v>
      </c>
      <c r="D71" s="1" t="s">
        <v>23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119</v>
      </c>
      <c r="M71" s="1">
        <v>118</v>
      </c>
      <c r="N71" s="1">
        <v>123</v>
      </c>
      <c r="O71" s="1">
        <v>121</v>
      </c>
      <c r="P71" s="1">
        <v>97</v>
      </c>
      <c r="Q71" s="1">
        <v>127</v>
      </c>
      <c r="R71" s="1">
        <v>116</v>
      </c>
      <c r="S71" s="1">
        <v>116</v>
      </c>
      <c r="T71" s="1">
        <v>116</v>
      </c>
      <c r="U71" s="1">
        <v>29</v>
      </c>
      <c r="V71" s="4">
        <f t="shared" si="1"/>
        <v>481</v>
      </c>
      <c r="W71" s="8">
        <f t="shared" si="2"/>
        <v>475</v>
      </c>
      <c r="X71" s="5" t="str">
        <f>Stat[[#This Row],[服装]]&amp;Stat[[#This Row],[名前]]&amp;Stat[[#This Row],[レアリティ]]</f>
        <v>ユニフォーム黄金川貫至ICONIC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149</v>
      </c>
      <c r="C72" s="1" t="s">
        <v>384</v>
      </c>
      <c r="D72" s="1" t="s">
        <v>73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120</v>
      </c>
      <c r="M72" s="1">
        <v>121</v>
      </c>
      <c r="N72" s="1">
        <v>126</v>
      </c>
      <c r="O72" s="1">
        <v>124</v>
      </c>
      <c r="P72" s="1">
        <v>97</v>
      </c>
      <c r="Q72" s="1">
        <v>128</v>
      </c>
      <c r="R72" s="1">
        <v>117</v>
      </c>
      <c r="S72" s="1">
        <v>117</v>
      </c>
      <c r="T72" s="1">
        <v>117</v>
      </c>
      <c r="U72" s="1">
        <v>29</v>
      </c>
      <c r="V72" s="4">
        <f t="shared" si="1"/>
        <v>491</v>
      </c>
      <c r="W72" s="8">
        <f t="shared" si="2"/>
        <v>479</v>
      </c>
      <c r="X72" s="5" t="str">
        <f>Stat[[#This Row],[服装]]&amp;Stat[[#This Row],[名前]]&amp;Stat[[#This Row],[レアリティ]]</f>
        <v>制服黄金川貫至ICONIC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702</v>
      </c>
      <c r="C73" s="1" t="s">
        <v>384</v>
      </c>
      <c r="D73" s="1" t="s">
        <v>90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122</v>
      </c>
      <c r="M73" s="1">
        <v>123</v>
      </c>
      <c r="N73" s="1">
        <v>126</v>
      </c>
      <c r="O73" s="1">
        <v>126</v>
      </c>
      <c r="P73" s="1">
        <v>97</v>
      </c>
      <c r="Q73" s="1">
        <v>126</v>
      </c>
      <c r="R73" s="1">
        <v>115</v>
      </c>
      <c r="S73" s="1">
        <v>116</v>
      </c>
      <c r="T73" s="1">
        <v>116</v>
      </c>
      <c r="U73" s="1">
        <v>29</v>
      </c>
      <c r="V73" s="4">
        <f t="shared" si="1"/>
        <v>497</v>
      </c>
      <c r="W73" s="8">
        <f t="shared" si="2"/>
        <v>473</v>
      </c>
      <c r="X73" s="5" t="str">
        <f>Stat[[#This Row],[服装]]&amp;Stat[[#This Row],[名前]]&amp;Stat[[#This Row],[レアリティ]]</f>
        <v>職業体験黄金川貫至ICONIC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108</v>
      </c>
      <c r="C74" s="1" t="s">
        <v>51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121</v>
      </c>
      <c r="M74" s="1">
        <v>117</v>
      </c>
      <c r="N74" s="1">
        <v>112</v>
      </c>
      <c r="O74" s="1">
        <v>119</v>
      </c>
      <c r="P74" s="1">
        <v>97</v>
      </c>
      <c r="Q74" s="1">
        <v>116</v>
      </c>
      <c r="R74" s="1">
        <v>114</v>
      </c>
      <c r="S74" s="1">
        <v>116</v>
      </c>
      <c r="T74" s="1">
        <v>119</v>
      </c>
      <c r="U74" s="1">
        <v>31</v>
      </c>
      <c r="V74" s="4">
        <f t="shared" si="1"/>
        <v>469</v>
      </c>
      <c r="W74" s="8">
        <f t="shared" si="2"/>
        <v>465</v>
      </c>
      <c r="X74" s="5" t="str">
        <f>Stat[[#This Row],[服装]]&amp;Stat[[#This Row],[名前]]&amp;Stat[[#This Row],[レアリティ]]</f>
        <v>ユニフォーム小原豊ICONIC</v>
      </c>
      <c r="Y74" s="5" t="s">
        <v>311</v>
      </c>
    </row>
    <row r="75" spans="1:25" ht="15" x14ac:dyDescent="0.35">
      <c r="A75" s="1">
        <f t="shared" si="3"/>
        <v>74</v>
      </c>
      <c r="B75" s="1" t="s">
        <v>108</v>
      </c>
      <c r="C75" s="1" t="s">
        <v>52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122</v>
      </c>
      <c r="M75" s="1">
        <v>118</v>
      </c>
      <c r="N75" s="1">
        <v>113</v>
      </c>
      <c r="O75" s="1">
        <v>120</v>
      </c>
      <c r="P75" s="1">
        <v>97</v>
      </c>
      <c r="Q75" s="1">
        <v>121</v>
      </c>
      <c r="R75" s="1">
        <v>115</v>
      </c>
      <c r="S75" s="1">
        <v>117</v>
      </c>
      <c r="T75" s="1">
        <v>120</v>
      </c>
      <c r="U75" s="1">
        <v>31</v>
      </c>
      <c r="V75" s="4">
        <f t="shared" si="1"/>
        <v>473</v>
      </c>
      <c r="W75" s="8">
        <f t="shared" si="2"/>
        <v>473</v>
      </c>
      <c r="X75" s="5" t="str">
        <f>Stat[[#This Row],[服装]]&amp;Stat[[#This Row],[名前]]&amp;Stat[[#This Row],[レアリティ]]</f>
        <v>ユニフォーム女川太郎ICONIC</v>
      </c>
      <c r="Y75" s="5" t="s">
        <v>316</v>
      </c>
    </row>
    <row r="76" spans="1:25" ht="15" x14ac:dyDescent="0.35">
      <c r="A76" s="1">
        <f t="shared" si="3"/>
        <v>75</v>
      </c>
      <c r="B76" s="1" t="s">
        <v>108</v>
      </c>
      <c r="C76" s="1" t="s">
        <v>53</v>
      </c>
      <c r="D76" s="1" t="s">
        <v>23</v>
      </c>
      <c r="E76" s="1" t="s">
        <v>21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84</v>
      </c>
      <c r="L76" s="1">
        <v>113</v>
      </c>
      <c r="M76" s="1">
        <v>110</v>
      </c>
      <c r="N76" s="1">
        <v>112</v>
      </c>
      <c r="O76" s="1">
        <v>121</v>
      </c>
      <c r="P76" s="1">
        <v>101</v>
      </c>
      <c r="Q76" s="1">
        <v>110</v>
      </c>
      <c r="R76" s="1">
        <v>124</v>
      </c>
      <c r="S76" s="1">
        <v>119</v>
      </c>
      <c r="T76" s="1">
        <v>120</v>
      </c>
      <c r="U76" s="1">
        <v>36</v>
      </c>
      <c r="V76" s="4">
        <f t="shared" si="1"/>
        <v>456</v>
      </c>
      <c r="W76" s="8">
        <f t="shared" si="2"/>
        <v>473</v>
      </c>
      <c r="X76" s="5" t="str">
        <f>Stat[[#This Row],[服装]]&amp;Stat[[#This Row],[名前]]&amp;Stat[[#This Row],[レアリティ]]</f>
        <v>ユニフォーム作並浩輔ICONIC</v>
      </c>
      <c r="Y76" s="5" t="s">
        <v>315</v>
      </c>
    </row>
    <row r="77" spans="1:25" ht="15" x14ac:dyDescent="0.35">
      <c r="A77" s="1">
        <f t="shared" si="3"/>
        <v>76</v>
      </c>
      <c r="B77" s="1" t="s">
        <v>108</v>
      </c>
      <c r="C77" s="1" t="s">
        <v>54</v>
      </c>
      <c r="D77" s="1" t="s">
        <v>23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125</v>
      </c>
      <c r="M77" s="1">
        <v>113</v>
      </c>
      <c r="N77" s="1">
        <v>112</v>
      </c>
      <c r="O77" s="1">
        <v>122</v>
      </c>
      <c r="P77" s="1">
        <v>97</v>
      </c>
      <c r="Q77" s="1">
        <v>125</v>
      </c>
      <c r="R77" s="1">
        <v>115</v>
      </c>
      <c r="S77" s="1">
        <v>116</v>
      </c>
      <c r="T77" s="1">
        <v>115</v>
      </c>
      <c r="U77" s="1">
        <v>31</v>
      </c>
      <c r="V77" s="4">
        <f t="shared" si="1"/>
        <v>472</v>
      </c>
      <c r="W77" s="8">
        <f t="shared" si="2"/>
        <v>471</v>
      </c>
      <c r="X77" s="5" t="str">
        <f>Stat[[#This Row],[服装]]&amp;Stat[[#This Row],[名前]]&amp;Stat[[#This Row],[レアリティ]]</f>
        <v>ユニフォーム吹上仁悟ICONIC</v>
      </c>
      <c r="Y77" s="5" t="s">
        <v>317</v>
      </c>
    </row>
    <row r="78" spans="1:25" ht="15" x14ac:dyDescent="0.35">
      <c r="A78" s="1">
        <f t="shared" ref="A78:A80" si="6">ROW()-1</f>
        <v>77</v>
      </c>
      <c r="B78" s="1" t="s">
        <v>108</v>
      </c>
      <c r="C78" s="1" t="s">
        <v>1022</v>
      </c>
      <c r="D78" s="1" t="s">
        <v>23</v>
      </c>
      <c r="E78" s="1" t="s">
        <v>74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115</v>
      </c>
      <c r="M78" s="1">
        <v>116</v>
      </c>
      <c r="N78" s="1">
        <v>121</v>
      </c>
      <c r="O78" s="1">
        <v>120</v>
      </c>
      <c r="P78" s="1">
        <v>97</v>
      </c>
      <c r="Q78" s="1">
        <v>118</v>
      </c>
      <c r="R78" s="1">
        <v>117</v>
      </c>
      <c r="S78" s="1">
        <v>116</v>
      </c>
      <c r="T78" s="1">
        <v>118</v>
      </c>
      <c r="U78" s="1">
        <v>36</v>
      </c>
      <c r="V78" s="4">
        <f t="shared" ref="V78:V80" si="7">SUM(L78:O78)</f>
        <v>472</v>
      </c>
      <c r="W78" s="8">
        <f t="shared" ref="W78:W80" si="8">SUM(Q78:T78)</f>
        <v>469</v>
      </c>
      <c r="X78" s="5" t="str">
        <f>Stat[[#This Row],[服装]]&amp;Stat[[#This Row],[名前]]&amp;Stat[[#This Row],[レアリティ]]</f>
        <v>ユニフォーム茂庭要ICONIC</v>
      </c>
      <c r="Y78" s="5" t="s">
        <v>1028</v>
      </c>
    </row>
    <row r="79" spans="1:25" ht="15" x14ac:dyDescent="0.35">
      <c r="A79" s="1">
        <f t="shared" si="6"/>
        <v>78</v>
      </c>
      <c r="B79" s="1" t="s">
        <v>108</v>
      </c>
      <c r="C79" s="1" t="s">
        <v>1024</v>
      </c>
      <c r="D79" s="1" t="s">
        <v>23</v>
      </c>
      <c r="E79" s="1" t="s">
        <v>82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119</v>
      </c>
      <c r="N79" s="1">
        <v>112</v>
      </c>
      <c r="O79" s="1">
        <v>121</v>
      </c>
      <c r="P79" s="1">
        <v>97</v>
      </c>
      <c r="Q79" s="1">
        <v>123</v>
      </c>
      <c r="R79" s="1">
        <v>115</v>
      </c>
      <c r="S79" s="1">
        <v>115</v>
      </c>
      <c r="T79" s="1">
        <v>115</v>
      </c>
      <c r="U79" s="1">
        <v>31</v>
      </c>
      <c r="V79" s="4">
        <f t="shared" si="7"/>
        <v>473</v>
      </c>
      <c r="W79" s="8">
        <f t="shared" si="8"/>
        <v>468</v>
      </c>
      <c r="X79" s="5" t="str">
        <f>Stat[[#This Row],[服装]]&amp;Stat[[#This Row],[名前]]&amp;Stat[[#This Row],[レアリティ]]</f>
        <v>ユニフォーム鎌先靖志ICONIC</v>
      </c>
      <c r="Y79" s="5" t="s">
        <v>1032</v>
      </c>
    </row>
    <row r="80" spans="1:25" ht="15" x14ac:dyDescent="0.35">
      <c r="A80" s="1">
        <f t="shared" si="6"/>
        <v>79</v>
      </c>
      <c r="B80" s="1" t="s">
        <v>108</v>
      </c>
      <c r="C80" s="1" t="s">
        <v>1026</v>
      </c>
      <c r="D80" s="1" t="s">
        <v>23</v>
      </c>
      <c r="E80" s="1" t="s">
        <v>78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120</v>
      </c>
      <c r="M80" s="1">
        <v>117</v>
      </c>
      <c r="N80" s="1">
        <v>112</v>
      </c>
      <c r="O80" s="1">
        <v>119</v>
      </c>
      <c r="P80" s="1">
        <v>97</v>
      </c>
      <c r="Q80" s="1">
        <v>119</v>
      </c>
      <c r="R80" s="1">
        <v>114</v>
      </c>
      <c r="S80" s="1">
        <v>116</v>
      </c>
      <c r="T80" s="1">
        <v>119</v>
      </c>
      <c r="U80" s="1">
        <v>31</v>
      </c>
      <c r="V80" s="4">
        <f t="shared" si="7"/>
        <v>468</v>
      </c>
      <c r="W80" s="8">
        <f t="shared" si="8"/>
        <v>468</v>
      </c>
      <c r="X80" s="5" t="str">
        <f>Stat[[#This Row],[服装]]&amp;Stat[[#This Row],[名前]]&amp;Stat[[#This Row],[レアリティ]]</f>
        <v>ユニフォーム笹谷武仁ICONIC</v>
      </c>
      <c r="Y80" s="5" t="s">
        <v>1034</v>
      </c>
    </row>
    <row r="81" spans="1:25" ht="15" x14ac:dyDescent="0.35">
      <c r="A81" s="1">
        <f t="shared" si="3"/>
        <v>80</v>
      </c>
      <c r="B81" s="1" t="s">
        <v>108</v>
      </c>
      <c r="C81" s="1" t="s">
        <v>30</v>
      </c>
      <c r="D81" s="1" t="s">
        <v>23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80</v>
      </c>
      <c r="L81" s="1">
        <v>127</v>
      </c>
      <c r="M81" s="1">
        <v>127</v>
      </c>
      <c r="N81" s="1">
        <v>129</v>
      </c>
      <c r="O81" s="1">
        <v>127</v>
      </c>
      <c r="P81" s="1">
        <v>101</v>
      </c>
      <c r="Q81" s="1">
        <v>114</v>
      </c>
      <c r="R81" s="1">
        <v>115</v>
      </c>
      <c r="S81" s="1">
        <v>115</v>
      </c>
      <c r="T81" s="1">
        <v>115</v>
      </c>
      <c r="U81" s="1">
        <v>36</v>
      </c>
      <c r="V81" s="4">
        <f t="shared" si="1"/>
        <v>510</v>
      </c>
      <c r="W81" s="8">
        <f t="shared" si="2"/>
        <v>459</v>
      </c>
      <c r="X81" s="5" t="str">
        <f>Stat[[#This Row],[服装]]&amp;Stat[[#This Row],[名前]]&amp;Stat[[#This Row],[レアリティ]]</f>
        <v>ユニフォーム及川徹ICONIC</v>
      </c>
      <c r="Y81" s="5" t="s">
        <v>318</v>
      </c>
    </row>
    <row r="82" spans="1:25" ht="15" x14ac:dyDescent="0.35">
      <c r="A82" s="1">
        <f t="shared" si="3"/>
        <v>81</v>
      </c>
      <c r="B82" s="1" t="s">
        <v>117</v>
      </c>
      <c r="C82" s="1" t="s">
        <v>30</v>
      </c>
      <c r="D82" s="1" t="s">
        <v>90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128</v>
      </c>
      <c r="M82" s="1">
        <v>130</v>
      </c>
      <c r="N82" s="1">
        <v>132</v>
      </c>
      <c r="O82" s="1">
        <v>130</v>
      </c>
      <c r="P82" s="1">
        <v>101</v>
      </c>
      <c r="Q82" s="1">
        <v>115</v>
      </c>
      <c r="R82" s="1">
        <v>116</v>
      </c>
      <c r="S82" s="1">
        <v>116</v>
      </c>
      <c r="T82" s="1">
        <v>116</v>
      </c>
      <c r="U82" s="1">
        <v>36</v>
      </c>
      <c r="V82" s="4">
        <f t="shared" si="1"/>
        <v>520</v>
      </c>
      <c r="W82" s="8">
        <f t="shared" si="2"/>
        <v>463</v>
      </c>
      <c r="X82" s="5" t="str">
        <f>Stat[[#This Row],[服装]]&amp;Stat[[#This Row],[名前]]&amp;Stat[[#This Row],[レアリティ]]</f>
        <v>プール掃除及川徹ICONIC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915</v>
      </c>
      <c r="C83" s="1" t="s">
        <v>30</v>
      </c>
      <c r="D83" s="1" t="s">
        <v>77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130</v>
      </c>
      <c r="M83" s="1">
        <v>127</v>
      </c>
      <c r="N83" s="1">
        <v>135</v>
      </c>
      <c r="O83" s="1">
        <v>127</v>
      </c>
      <c r="P83" s="1">
        <v>101</v>
      </c>
      <c r="Q83" s="1">
        <v>118</v>
      </c>
      <c r="R83" s="1">
        <v>114</v>
      </c>
      <c r="S83" s="1">
        <v>119</v>
      </c>
      <c r="T83" s="1">
        <v>114</v>
      </c>
      <c r="U83" s="1">
        <v>36</v>
      </c>
      <c r="V83" s="4">
        <f t="shared" si="1"/>
        <v>519</v>
      </c>
      <c r="W83" s="8">
        <f t="shared" si="2"/>
        <v>465</v>
      </c>
      <c r="X83" s="5" t="str">
        <f>Stat[[#This Row],[服装]]&amp;Stat[[#This Row],[名前]]&amp;Stat[[#This Row],[レアリティ]]</f>
        <v>Xmas及川徹ICONIC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149</v>
      </c>
      <c r="C84" s="1" t="s">
        <v>30</v>
      </c>
      <c r="D84" s="1" t="s">
        <v>73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131</v>
      </c>
      <c r="M84" s="1">
        <v>127</v>
      </c>
      <c r="N84" s="1">
        <v>131</v>
      </c>
      <c r="O84" s="1">
        <v>127</v>
      </c>
      <c r="P84" s="1">
        <v>101</v>
      </c>
      <c r="Q84" s="1">
        <v>117</v>
      </c>
      <c r="R84" s="1">
        <v>116</v>
      </c>
      <c r="S84" s="1">
        <v>118</v>
      </c>
      <c r="T84" s="1">
        <v>116</v>
      </c>
      <c r="U84" s="1">
        <v>36</v>
      </c>
      <c r="V84" s="4">
        <f t="shared" si="1"/>
        <v>516</v>
      </c>
      <c r="W84" s="8">
        <f t="shared" si="2"/>
        <v>467</v>
      </c>
      <c r="X84" s="5" t="str">
        <f>Stat[[#This Row],[服装]]&amp;Stat[[#This Row],[名前]]&amp;Stat[[#This Row],[レアリティ]]</f>
        <v>制服及川徹ICONIC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1122</v>
      </c>
      <c r="C85" s="1" t="s">
        <v>30</v>
      </c>
      <c r="D85" s="1" t="s">
        <v>90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83</v>
      </c>
      <c r="L85" s="1">
        <v>129</v>
      </c>
      <c r="M85" s="1">
        <v>133</v>
      </c>
      <c r="N85" s="1">
        <v>134</v>
      </c>
      <c r="O85" s="1">
        <v>132</v>
      </c>
      <c r="P85" s="1">
        <v>101</v>
      </c>
      <c r="Q85" s="1">
        <v>115</v>
      </c>
      <c r="R85" s="1">
        <v>117</v>
      </c>
      <c r="S85" s="1">
        <v>116</v>
      </c>
      <c r="T85" s="1">
        <v>117</v>
      </c>
      <c r="U85" s="1">
        <v>36</v>
      </c>
      <c r="V85" s="4">
        <f>SUM(L85:O85)</f>
        <v>528</v>
      </c>
      <c r="W85" s="8">
        <f>SUM(Q85:T85)</f>
        <v>465</v>
      </c>
      <c r="X85" s="5" t="str">
        <f>Stat[[#This Row],[服装]]&amp;Stat[[#This Row],[名前]]&amp;Stat[[#This Row],[レアリティ]]</f>
        <v>路地裏及川徹ICONIC</v>
      </c>
      <c r="Y85" s="5" t="s">
        <v>318</v>
      </c>
    </row>
    <row r="86" spans="1:25" ht="15" x14ac:dyDescent="0.35">
      <c r="A86" s="1">
        <f t="shared" si="3"/>
        <v>85</v>
      </c>
      <c r="B86" s="1" t="s">
        <v>108</v>
      </c>
      <c r="C86" s="1" t="s">
        <v>32</v>
      </c>
      <c r="D86" s="1" t="s">
        <v>28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77</v>
      </c>
      <c r="L86" s="1">
        <v>125</v>
      </c>
      <c r="M86" s="1">
        <v>121</v>
      </c>
      <c r="N86" s="1">
        <v>114</v>
      </c>
      <c r="O86" s="1">
        <v>122</v>
      </c>
      <c r="P86" s="1">
        <v>101</v>
      </c>
      <c r="Q86" s="1">
        <v>117</v>
      </c>
      <c r="R86" s="1">
        <v>115</v>
      </c>
      <c r="S86" s="1">
        <v>116</v>
      </c>
      <c r="T86" s="1">
        <v>116</v>
      </c>
      <c r="U86" s="1">
        <v>36</v>
      </c>
      <c r="V86" s="4">
        <f t="shared" ref="V86:V160" si="9">SUM(L86:O86)</f>
        <v>482</v>
      </c>
      <c r="W86" s="8">
        <f t="shared" ref="W86:W160" si="10">SUM(Q86:T86)</f>
        <v>464</v>
      </c>
      <c r="X86" s="5" t="str">
        <f>Stat[[#This Row],[服装]]&amp;Stat[[#This Row],[名前]]&amp;Stat[[#This Row],[レアリティ]]</f>
        <v>ユニフォーム岩泉一ICONIC</v>
      </c>
      <c r="Y86" s="5" t="s">
        <v>319</v>
      </c>
    </row>
    <row r="87" spans="1:25" ht="15" x14ac:dyDescent="0.35">
      <c r="A87" s="1">
        <f t="shared" si="3"/>
        <v>86</v>
      </c>
      <c r="B87" s="1" t="s">
        <v>117</v>
      </c>
      <c r="C87" s="1" t="s">
        <v>32</v>
      </c>
      <c r="D87" s="1" t="s">
        <v>73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128</v>
      </c>
      <c r="M87" s="1">
        <v>124</v>
      </c>
      <c r="N87" s="1">
        <v>115</v>
      </c>
      <c r="O87" s="1">
        <v>123</v>
      </c>
      <c r="P87" s="1">
        <v>101</v>
      </c>
      <c r="Q87" s="1">
        <v>118</v>
      </c>
      <c r="R87" s="1">
        <v>116</v>
      </c>
      <c r="S87" s="1">
        <v>119</v>
      </c>
      <c r="T87" s="1">
        <v>117</v>
      </c>
      <c r="U87" s="1">
        <v>36</v>
      </c>
      <c r="V87" s="4">
        <f t="shared" si="9"/>
        <v>490</v>
      </c>
      <c r="W87" s="8">
        <f t="shared" si="10"/>
        <v>470</v>
      </c>
      <c r="X87" s="5" t="str">
        <f>Stat[[#This Row],[服装]]&amp;Stat[[#This Row],[名前]]&amp;Stat[[#This Row],[レアリティ]]</f>
        <v>プール掃除岩泉一ICONIC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149</v>
      </c>
      <c r="C88" s="1" t="s">
        <v>32</v>
      </c>
      <c r="D88" s="1" t="s">
        <v>90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126</v>
      </c>
      <c r="N88" s="1">
        <v>114</v>
      </c>
      <c r="O88" s="1">
        <v>125</v>
      </c>
      <c r="P88" s="1">
        <v>101</v>
      </c>
      <c r="Q88" s="1">
        <v>116</v>
      </c>
      <c r="R88" s="1">
        <v>117</v>
      </c>
      <c r="S88" s="1">
        <v>117</v>
      </c>
      <c r="T88" s="1">
        <v>118</v>
      </c>
      <c r="U88" s="1">
        <v>36</v>
      </c>
      <c r="V88" s="4">
        <f>SUM(L88:O88)</f>
        <v>492</v>
      </c>
      <c r="W88" s="8">
        <f>SUM(Q88:T88)</f>
        <v>468</v>
      </c>
      <c r="X88" s="5" t="str">
        <f>Stat[[#This Row],[服装]]&amp;Stat[[#This Row],[名前]]&amp;Stat[[#This Row],[レアリティ]]</f>
        <v>制服岩泉一ICONIC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1049</v>
      </c>
      <c r="C89" s="1" t="s">
        <v>32</v>
      </c>
      <c r="D89" s="1" t="s">
        <v>77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122</v>
      </c>
      <c r="N89" s="1">
        <v>114</v>
      </c>
      <c r="O89" s="1">
        <v>122</v>
      </c>
      <c r="P89" s="1">
        <v>101</v>
      </c>
      <c r="Q89" s="1">
        <v>120</v>
      </c>
      <c r="R89" s="1">
        <v>118</v>
      </c>
      <c r="S89" s="1">
        <v>120</v>
      </c>
      <c r="T89" s="1">
        <v>118</v>
      </c>
      <c r="U89" s="1">
        <v>36</v>
      </c>
      <c r="V89" s="4">
        <f>SUM(L89:O89)</f>
        <v>485</v>
      </c>
      <c r="W89" s="8">
        <f>SUM(Q89:T89)</f>
        <v>476</v>
      </c>
      <c r="X89" s="5" t="str">
        <f>Stat[[#This Row],[服装]]&amp;Stat[[#This Row],[名前]]&amp;Stat[[#This Row],[レアリティ]]</f>
        <v>サバゲ岩泉一ICONIC</v>
      </c>
      <c r="Y89" s="5" t="s">
        <v>319</v>
      </c>
    </row>
    <row r="90" spans="1:25" ht="15" x14ac:dyDescent="0.35">
      <c r="A90" s="1">
        <f t="shared" si="3"/>
        <v>89</v>
      </c>
      <c r="B90" s="1" t="s">
        <v>108</v>
      </c>
      <c r="C90" s="1" t="s">
        <v>33</v>
      </c>
      <c r="D90" s="1" t="s">
        <v>24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71</v>
      </c>
      <c r="L90" s="1">
        <v>118</v>
      </c>
      <c r="M90" s="1">
        <v>113</v>
      </c>
      <c r="N90" s="1">
        <v>112</v>
      </c>
      <c r="O90" s="1">
        <v>116</v>
      </c>
      <c r="P90" s="1">
        <v>97</v>
      </c>
      <c r="Q90" s="1">
        <v>120</v>
      </c>
      <c r="R90" s="1">
        <v>115</v>
      </c>
      <c r="S90" s="1">
        <v>115</v>
      </c>
      <c r="T90" s="1">
        <v>115</v>
      </c>
      <c r="U90" s="1">
        <v>31</v>
      </c>
      <c r="V90" s="4">
        <f t="shared" si="9"/>
        <v>459</v>
      </c>
      <c r="W90" s="8">
        <f t="shared" si="10"/>
        <v>465</v>
      </c>
      <c r="X90" s="5" t="str">
        <f>Stat[[#This Row],[服装]]&amp;Stat[[#This Row],[名前]]&amp;Stat[[#This Row],[レアリティ]]</f>
        <v>ユニフォーム金田一勇太郎ICONIC</v>
      </c>
      <c r="Y90" s="5" t="s">
        <v>320</v>
      </c>
    </row>
    <row r="91" spans="1:25" ht="15" x14ac:dyDescent="0.35">
      <c r="A91" s="1">
        <f>ROW()-1</f>
        <v>90</v>
      </c>
      <c r="B91" s="1" t="s">
        <v>959</v>
      </c>
      <c r="C91" s="1" t="s">
        <v>33</v>
      </c>
      <c r="D91" s="1" t="s">
        <v>77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73</v>
      </c>
      <c r="L91" s="1">
        <v>121</v>
      </c>
      <c r="M91" s="1">
        <v>114</v>
      </c>
      <c r="N91" s="1">
        <v>113</v>
      </c>
      <c r="O91" s="1">
        <v>117</v>
      </c>
      <c r="P91" s="1">
        <v>97</v>
      </c>
      <c r="Q91" s="1">
        <v>123</v>
      </c>
      <c r="R91" s="1">
        <v>116</v>
      </c>
      <c r="S91" s="1">
        <v>118</v>
      </c>
      <c r="T91" s="1">
        <v>116</v>
      </c>
      <c r="U91" s="1">
        <v>31</v>
      </c>
      <c r="V91" s="4">
        <f>SUM(L91:O91)</f>
        <v>465</v>
      </c>
      <c r="W91" s="8">
        <f>SUM(Q91:T91)</f>
        <v>473</v>
      </c>
      <c r="X91" s="5" t="str">
        <f>Stat[[#This Row],[服装]]&amp;Stat[[#This Row],[名前]]&amp;Stat[[#This Row],[レアリティ]]</f>
        <v>雪遊び金田一勇太郎ICONIC</v>
      </c>
      <c r="Y91" s="5" t="s">
        <v>320</v>
      </c>
    </row>
    <row r="92" spans="1:25" ht="15" x14ac:dyDescent="0.35">
      <c r="A92" s="1">
        <f t="shared" si="3"/>
        <v>91</v>
      </c>
      <c r="B92" s="1" t="s">
        <v>108</v>
      </c>
      <c r="C92" s="1" t="s">
        <v>34</v>
      </c>
      <c r="D92" s="1" t="s">
        <v>28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128</v>
      </c>
      <c r="M92" s="1">
        <v>125</v>
      </c>
      <c r="N92" s="1">
        <v>112</v>
      </c>
      <c r="O92" s="1">
        <v>119</v>
      </c>
      <c r="P92" s="1">
        <v>97</v>
      </c>
      <c r="Q92" s="1">
        <v>114</v>
      </c>
      <c r="R92" s="1">
        <v>110</v>
      </c>
      <c r="S92" s="1">
        <v>116</v>
      </c>
      <c r="T92" s="1">
        <v>121</v>
      </c>
      <c r="U92" s="1">
        <v>27</v>
      </c>
      <c r="V92" s="4">
        <f t="shared" si="9"/>
        <v>484</v>
      </c>
      <c r="W92" s="8">
        <f t="shared" si="10"/>
        <v>461</v>
      </c>
      <c r="X92" s="5" t="str">
        <f>Stat[[#This Row],[服装]]&amp;Stat[[#This Row],[名前]]&amp;Stat[[#This Row],[レアリティ]]</f>
        <v>ユニフォーム京谷賢太郎ICONIC</v>
      </c>
      <c r="Y92" s="5" t="s">
        <v>321</v>
      </c>
    </row>
    <row r="93" spans="1:25" ht="15" x14ac:dyDescent="0.35">
      <c r="A93" s="1">
        <f t="shared" si="3"/>
        <v>92</v>
      </c>
      <c r="B93" s="1" t="s">
        <v>108</v>
      </c>
      <c r="C93" s="1" t="s">
        <v>35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70</v>
      </c>
      <c r="L93" s="1">
        <v>119</v>
      </c>
      <c r="M93" s="1">
        <v>115</v>
      </c>
      <c r="N93" s="1">
        <v>114</v>
      </c>
      <c r="O93" s="1">
        <v>119</v>
      </c>
      <c r="P93" s="1">
        <v>97</v>
      </c>
      <c r="Q93" s="1">
        <v>114</v>
      </c>
      <c r="R93" s="1">
        <v>116</v>
      </c>
      <c r="S93" s="1">
        <v>116</v>
      </c>
      <c r="T93" s="1">
        <v>116</v>
      </c>
      <c r="U93" s="1">
        <v>31</v>
      </c>
      <c r="V93" s="4">
        <f t="shared" si="9"/>
        <v>467</v>
      </c>
      <c r="W93" s="8">
        <f t="shared" si="10"/>
        <v>462</v>
      </c>
      <c r="X93" s="5" t="str">
        <f>Stat[[#This Row],[服装]]&amp;Stat[[#This Row],[名前]]&amp;Stat[[#This Row],[レアリティ]]</f>
        <v>ユニフォーム国見英ICONIC</v>
      </c>
      <c r="Y93" s="5" t="s">
        <v>322</v>
      </c>
    </row>
    <row r="94" spans="1:25" ht="15" x14ac:dyDescent="0.35">
      <c r="A94" s="1">
        <f t="shared" si="3"/>
        <v>93</v>
      </c>
      <c r="B94" s="1" t="s">
        <v>702</v>
      </c>
      <c r="C94" s="1" t="s">
        <v>35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122</v>
      </c>
      <c r="M94" s="1">
        <v>118</v>
      </c>
      <c r="N94" s="1">
        <v>115</v>
      </c>
      <c r="O94" s="1">
        <v>120</v>
      </c>
      <c r="P94" s="1">
        <v>97</v>
      </c>
      <c r="Q94" s="1">
        <v>115</v>
      </c>
      <c r="R94" s="1">
        <v>117</v>
      </c>
      <c r="S94" s="1">
        <v>119</v>
      </c>
      <c r="T94" s="1">
        <v>117</v>
      </c>
      <c r="U94" s="1">
        <v>31</v>
      </c>
      <c r="V94" s="4">
        <f t="shared" si="9"/>
        <v>475</v>
      </c>
      <c r="W94" s="8">
        <f t="shared" si="10"/>
        <v>468</v>
      </c>
      <c r="X94" s="5" t="str">
        <f>Stat[[#This Row],[服装]]&amp;Stat[[#This Row],[名前]]&amp;Stat[[#This Row],[レアリティ]]</f>
        <v>職業体験国見英ICONIC</v>
      </c>
      <c r="Y94" s="5" t="s">
        <v>322</v>
      </c>
    </row>
    <row r="95" spans="1:25" ht="15" x14ac:dyDescent="0.35">
      <c r="A95" s="1">
        <f>ROW()-1</f>
        <v>94</v>
      </c>
      <c r="B95" s="1" t="s">
        <v>1122</v>
      </c>
      <c r="C95" s="1" t="s">
        <v>35</v>
      </c>
      <c r="D95" s="1" t="s">
        <v>77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72</v>
      </c>
      <c r="L95" s="1">
        <v>121</v>
      </c>
      <c r="M95" s="1">
        <v>116</v>
      </c>
      <c r="N95" s="1">
        <v>114</v>
      </c>
      <c r="O95" s="1">
        <v>119</v>
      </c>
      <c r="P95" s="1">
        <v>97</v>
      </c>
      <c r="Q95" s="1">
        <v>118</v>
      </c>
      <c r="R95" s="1">
        <v>119</v>
      </c>
      <c r="S95" s="1">
        <v>120</v>
      </c>
      <c r="T95" s="1">
        <v>118</v>
      </c>
      <c r="U95" s="1">
        <v>31</v>
      </c>
      <c r="V95" s="4">
        <f>SUM(L95:O95)</f>
        <v>470</v>
      </c>
      <c r="W95" s="8">
        <f>SUM(Q95:T95)</f>
        <v>475</v>
      </c>
      <c r="X95" s="5" t="str">
        <f>Stat[[#This Row],[服装]]&amp;Stat[[#This Row],[名前]]&amp;Stat[[#This Row],[レアリティ]]</f>
        <v>路地裏国見英ICONIC</v>
      </c>
      <c r="Y95" s="5" t="s">
        <v>322</v>
      </c>
    </row>
    <row r="96" spans="1:25" ht="15" x14ac:dyDescent="0.35">
      <c r="A96" s="1">
        <f t="shared" ref="A96:A133" si="11">ROW()-1</f>
        <v>95</v>
      </c>
      <c r="B96" s="1" t="s">
        <v>108</v>
      </c>
      <c r="C96" s="1" t="s">
        <v>36</v>
      </c>
      <c r="D96" s="1" t="s">
        <v>23</v>
      </c>
      <c r="E96" s="1" t="s">
        <v>21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84</v>
      </c>
      <c r="L96" s="1">
        <v>113</v>
      </c>
      <c r="M96" s="1">
        <v>110</v>
      </c>
      <c r="N96" s="1">
        <v>119</v>
      </c>
      <c r="O96" s="1">
        <v>121</v>
      </c>
      <c r="P96" s="1">
        <v>101</v>
      </c>
      <c r="Q96" s="1">
        <v>110</v>
      </c>
      <c r="R96" s="1">
        <v>124</v>
      </c>
      <c r="S96" s="1">
        <v>119</v>
      </c>
      <c r="T96" s="1">
        <v>122</v>
      </c>
      <c r="U96" s="1">
        <v>41</v>
      </c>
      <c r="V96" s="4">
        <f t="shared" si="9"/>
        <v>463</v>
      </c>
      <c r="W96" s="8">
        <f t="shared" si="10"/>
        <v>475</v>
      </c>
      <c r="X96" s="5" t="str">
        <f>Stat[[#This Row],[服装]]&amp;Stat[[#This Row],[名前]]&amp;Stat[[#This Row],[レアリティ]]</f>
        <v>ユニフォーム渡親治ICONIC</v>
      </c>
      <c r="Y96" s="5" t="s">
        <v>323</v>
      </c>
    </row>
    <row r="97" spans="1:25" ht="15" x14ac:dyDescent="0.35">
      <c r="A97" s="1">
        <f t="shared" si="11"/>
        <v>96</v>
      </c>
      <c r="B97" s="1" t="s">
        <v>108</v>
      </c>
      <c r="C97" s="1" t="s">
        <v>37</v>
      </c>
      <c r="D97" s="1" t="s">
        <v>23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76</v>
      </c>
      <c r="L97" s="1">
        <v>116</v>
      </c>
      <c r="M97" s="1">
        <v>113</v>
      </c>
      <c r="N97" s="1">
        <v>112</v>
      </c>
      <c r="O97" s="1">
        <v>117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4">
        <f t="shared" si="9"/>
        <v>458</v>
      </c>
      <c r="W97" s="8">
        <f t="shared" si="10"/>
        <v>465</v>
      </c>
      <c r="X97" s="5" t="str">
        <f>Stat[[#This Row],[服装]]&amp;Stat[[#This Row],[名前]]&amp;Stat[[#This Row],[レアリティ]]</f>
        <v>ユニフォーム松川一静ICONIC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908</v>
      </c>
      <c r="C98" s="1" t="s">
        <v>37</v>
      </c>
      <c r="D98" s="1" t="s">
        <v>90</v>
      </c>
      <c r="E98" s="1" t="s">
        <v>82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119</v>
      </c>
      <c r="M98" s="1">
        <v>114</v>
      </c>
      <c r="N98" s="1">
        <v>113</v>
      </c>
      <c r="O98" s="1">
        <v>118</v>
      </c>
      <c r="P98" s="1">
        <v>97</v>
      </c>
      <c r="Q98" s="1">
        <v>123</v>
      </c>
      <c r="R98" s="1">
        <v>116</v>
      </c>
      <c r="S98" s="1">
        <v>118</v>
      </c>
      <c r="T98" s="1">
        <v>116</v>
      </c>
      <c r="U98" s="1">
        <v>31</v>
      </c>
      <c r="V98" s="4">
        <f t="shared" si="9"/>
        <v>464</v>
      </c>
      <c r="W98" s="8">
        <f t="shared" si="10"/>
        <v>473</v>
      </c>
      <c r="X98" s="5" t="str">
        <f>Stat[[#This Row],[服装]]&amp;Stat[[#This Row],[名前]]&amp;Stat[[#This Row],[レアリティ]]</f>
        <v>アート松川一静ICONIC</v>
      </c>
      <c r="Y98" s="5" t="s">
        <v>324</v>
      </c>
    </row>
    <row r="99" spans="1:25" ht="15" x14ac:dyDescent="0.35">
      <c r="A99" s="1">
        <f t="shared" si="11"/>
        <v>98</v>
      </c>
      <c r="B99" s="1" t="s">
        <v>108</v>
      </c>
      <c r="C99" s="1" t="s">
        <v>38</v>
      </c>
      <c r="D99" s="1" t="s">
        <v>23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118</v>
      </c>
      <c r="M99" s="1">
        <v>116</v>
      </c>
      <c r="N99" s="1">
        <v>116</v>
      </c>
      <c r="O99" s="1">
        <v>119</v>
      </c>
      <c r="P99" s="1">
        <v>97</v>
      </c>
      <c r="Q99" s="1">
        <v>117</v>
      </c>
      <c r="R99" s="1">
        <v>116</v>
      </c>
      <c r="S99" s="1">
        <v>116</v>
      </c>
      <c r="T99" s="1">
        <v>118</v>
      </c>
      <c r="U99" s="1">
        <v>31</v>
      </c>
      <c r="V99" s="4">
        <f t="shared" si="9"/>
        <v>469</v>
      </c>
      <c r="W99" s="8">
        <f t="shared" si="10"/>
        <v>467</v>
      </c>
      <c r="X99" s="5" t="str">
        <f>Stat[[#This Row],[服装]]&amp;Stat[[#This Row],[名前]]&amp;Stat[[#This Row],[レアリティ]]</f>
        <v>ユニフォーム花巻貴大ICONIC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908</v>
      </c>
      <c r="C100" s="1" t="s">
        <v>38</v>
      </c>
      <c r="D100" s="1" t="s">
        <v>90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121</v>
      </c>
      <c r="M100" s="1">
        <v>119</v>
      </c>
      <c r="N100" s="1">
        <v>117</v>
      </c>
      <c r="O100" s="1">
        <v>120</v>
      </c>
      <c r="P100" s="1">
        <v>97</v>
      </c>
      <c r="Q100" s="1">
        <v>118</v>
      </c>
      <c r="R100" s="1">
        <v>117</v>
      </c>
      <c r="S100" s="1">
        <v>119</v>
      </c>
      <c r="T100" s="1">
        <v>119</v>
      </c>
      <c r="U100" s="1">
        <v>31</v>
      </c>
      <c r="V100" s="4">
        <f t="shared" si="9"/>
        <v>477</v>
      </c>
      <c r="W100" s="8">
        <f t="shared" si="10"/>
        <v>473</v>
      </c>
      <c r="X100" s="5" t="str">
        <f>Stat[[#This Row],[服装]]&amp;Stat[[#This Row],[名前]]&amp;Stat[[#This Row],[レアリティ]]</f>
        <v>アート花巻貴大ICONIC</v>
      </c>
      <c r="Y100" s="5" t="s">
        <v>325</v>
      </c>
    </row>
    <row r="101" spans="1:25" ht="15" x14ac:dyDescent="0.35">
      <c r="A101" s="1">
        <f>ROW()-1</f>
        <v>100</v>
      </c>
      <c r="B101" s="1" t="s">
        <v>1165</v>
      </c>
      <c r="C101" s="1" t="s">
        <v>38</v>
      </c>
      <c r="D101" s="1" t="s">
        <v>77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124</v>
      </c>
      <c r="M101" s="1">
        <v>117</v>
      </c>
      <c r="N101" s="1">
        <v>119</v>
      </c>
      <c r="O101" s="1">
        <v>118</v>
      </c>
      <c r="P101" s="1">
        <v>97</v>
      </c>
      <c r="Q101" s="1">
        <v>118</v>
      </c>
      <c r="R101" s="1">
        <v>117</v>
      </c>
      <c r="S101" s="1">
        <v>121</v>
      </c>
      <c r="T101" s="1">
        <v>117</v>
      </c>
      <c r="U101" s="1">
        <v>31</v>
      </c>
      <c r="V101" s="4">
        <f>SUM(L101:O101)</f>
        <v>478</v>
      </c>
      <c r="W101" s="8">
        <f>SUM(Q101:T101)</f>
        <v>473</v>
      </c>
      <c r="X101" s="5" t="str">
        <f>Stat[[#This Row],[服装]]&amp;Stat[[#This Row],[名前]]&amp;Stat[[#This Row],[レアリティ]]</f>
        <v>バーガー花巻貴大ICONIC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108</v>
      </c>
      <c r="C102" s="1" t="s">
        <v>1042</v>
      </c>
      <c r="D102" s="1" t="s">
        <v>73</v>
      </c>
      <c r="E102" s="1" t="s">
        <v>74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118</v>
      </c>
      <c r="M102" s="1">
        <v>120</v>
      </c>
      <c r="N102" s="1">
        <v>123</v>
      </c>
      <c r="O102" s="1">
        <v>123</v>
      </c>
      <c r="P102" s="1">
        <v>101</v>
      </c>
      <c r="Q102" s="1">
        <v>115</v>
      </c>
      <c r="R102" s="1">
        <v>117</v>
      </c>
      <c r="S102" s="1">
        <v>115</v>
      </c>
      <c r="T102" s="1">
        <v>117</v>
      </c>
      <c r="U102" s="1">
        <v>36</v>
      </c>
      <c r="V102" s="4">
        <f>SUM(L102:O102)</f>
        <v>484</v>
      </c>
      <c r="W102" s="8">
        <f>SUM(Q102:T102)</f>
        <v>464</v>
      </c>
      <c r="X102" s="5" t="str">
        <f>Stat[[#This Row],[服装]]&amp;Stat[[#This Row],[名前]]&amp;Stat[[#This Row],[レアリティ]]</f>
        <v>ユニフォーム矢巾秀ICONIC</v>
      </c>
      <c r="Y102" s="5" t="s">
        <v>1044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55</v>
      </c>
      <c r="D103" s="1" t="s">
        <v>23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78</v>
      </c>
      <c r="L103" s="1">
        <v>121</v>
      </c>
      <c r="M103" s="1">
        <v>115</v>
      </c>
      <c r="N103" s="1">
        <v>114</v>
      </c>
      <c r="O103" s="1">
        <v>118</v>
      </c>
      <c r="P103" s="1">
        <v>101</v>
      </c>
      <c r="Q103" s="1">
        <v>116</v>
      </c>
      <c r="R103" s="1">
        <v>114</v>
      </c>
      <c r="S103" s="1">
        <v>116</v>
      </c>
      <c r="T103" s="1">
        <v>117</v>
      </c>
      <c r="U103" s="1">
        <v>41</v>
      </c>
      <c r="V103" s="4">
        <f t="shared" si="9"/>
        <v>468</v>
      </c>
      <c r="W103" s="8">
        <f t="shared" si="10"/>
        <v>463</v>
      </c>
      <c r="X103" s="5" t="str">
        <f>Stat[[#This Row],[服装]]&amp;Stat[[#This Row],[名前]]&amp;Stat[[#This Row],[レアリティ]]</f>
        <v>ユニフォーム駒木輝ICONIC</v>
      </c>
      <c r="Y103" s="5" t="s">
        <v>326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57</v>
      </c>
      <c r="D104" s="1" t="s">
        <v>24</v>
      </c>
      <c r="E104" s="1" t="s">
        <v>26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116</v>
      </c>
      <c r="M104" s="1">
        <v>115</v>
      </c>
      <c r="N104" s="1">
        <v>113</v>
      </c>
      <c r="O104" s="1">
        <v>118</v>
      </c>
      <c r="P104" s="1">
        <v>97</v>
      </c>
      <c r="Q104" s="1">
        <v>120</v>
      </c>
      <c r="R104" s="1">
        <v>116</v>
      </c>
      <c r="S104" s="1">
        <v>115</v>
      </c>
      <c r="T104" s="1">
        <v>115</v>
      </c>
      <c r="U104" s="1">
        <v>31</v>
      </c>
      <c r="V104" s="4">
        <f t="shared" si="9"/>
        <v>462</v>
      </c>
      <c r="W104" s="8">
        <f t="shared" si="10"/>
        <v>466</v>
      </c>
      <c r="X104" s="5" t="str">
        <f>Stat[[#This Row],[服装]]&amp;Stat[[#This Row],[名前]]&amp;Stat[[#This Row],[レアリティ]]</f>
        <v>ユニフォーム茶屋和馬ICONIC</v>
      </c>
      <c r="Y104" s="5" t="s">
        <v>327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58</v>
      </c>
      <c r="D105" s="1" t="s">
        <v>24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117</v>
      </c>
      <c r="M105" s="1">
        <v>114</v>
      </c>
      <c r="N105" s="1">
        <v>114</v>
      </c>
      <c r="O105" s="1">
        <v>119</v>
      </c>
      <c r="P105" s="1">
        <v>97</v>
      </c>
      <c r="Q105" s="1">
        <v>116</v>
      </c>
      <c r="R105" s="1">
        <v>116</v>
      </c>
      <c r="S105" s="1">
        <v>117</v>
      </c>
      <c r="T105" s="1">
        <v>117</v>
      </c>
      <c r="U105" s="1">
        <v>31</v>
      </c>
      <c r="V105" s="4">
        <f t="shared" si="9"/>
        <v>464</v>
      </c>
      <c r="W105" s="8">
        <f t="shared" si="10"/>
        <v>466</v>
      </c>
      <c r="X105" s="5" t="str">
        <f>Stat[[#This Row],[服装]]&amp;Stat[[#This Row],[名前]]&amp;Stat[[#This Row],[レアリティ]]</f>
        <v>ユニフォーム玉川弘樹ICONIC</v>
      </c>
      <c r="Y105" s="5" t="s">
        <v>328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59</v>
      </c>
      <c r="D106" s="1" t="s">
        <v>24</v>
      </c>
      <c r="E106" s="1" t="s">
        <v>21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84</v>
      </c>
      <c r="L106" s="1">
        <v>113</v>
      </c>
      <c r="M106" s="1">
        <v>110</v>
      </c>
      <c r="N106" s="1">
        <v>113</v>
      </c>
      <c r="O106" s="1">
        <v>122</v>
      </c>
      <c r="P106" s="1">
        <v>101</v>
      </c>
      <c r="Q106" s="1">
        <v>110</v>
      </c>
      <c r="R106" s="1">
        <v>124</v>
      </c>
      <c r="S106" s="1">
        <v>118</v>
      </c>
      <c r="T106" s="1">
        <v>121</v>
      </c>
      <c r="U106" s="1">
        <v>41</v>
      </c>
      <c r="V106" s="4">
        <f t="shared" si="9"/>
        <v>458</v>
      </c>
      <c r="W106" s="8">
        <f t="shared" si="10"/>
        <v>473</v>
      </c>
      <c r="X106" s="5" t="str">
        <f>Stat[[#This Row],[服装]]&amp;Stat[[#This Row],[名前]]&amp;Stat[[#This Row],[レアリティ]]</f>
        <v>ユニフォーム桜井大河ICONIC</v>
      </c>
      <c r="Y106" s="5" t="s">
        <v>329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60</v>
      </c>
      <c r="D107" s="1" t="s">
        <v>24</v>
      </c>
      <c r="E107" s="1" t="s">
        <v>31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120</v>
      </c>
      <c r="M107" s="1">
        <v>116</v>
      </c>
      <c r="N107" s="1">
        <v>121</v>
      </c>
      <c r="O107" s="1">
        <v>120</v>
      </c>
      <c r="P107" s="1">
        <v>97</v>
      </c>
      <c r="Q107" s="1">
        <v>114</v>
      </c>
      <c r="R107" s="1">
        <v>114</v>
      </c>
      <c r="S107" s="1">
        <v>115</v>
      </c>
      <c r="T107" s="1">
        <v>115</v>
      </c>
      <c r="U107" s="1">
        <v>31</v>
      </c>
      <c r="V107" s="4">
        <f t="shared" si="9"/>
        <v>477</v>
      </c>
      <c r="W107" s="8">
        <f t="shared" si="10"/>
        <v>458</v>
      </c>
      <c r="X107" s="5" t="str">
        <f>Stat[[#This Row],[服装]]&amp;Stat[[#This Row],[名前]]&amp;Stat[[#This Row],[レアリティ]]</f>
        <v>ユニフォーム芳賀良治ICONIC</v>
      </c>
      <c r="Y107" s="5" t="s">
        <v>330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61</v>
      </c>
      <c r="D108" s="1" t="s">
        <v>24</v>
      </c>
      <c r="E108" s="1" t="s">
        <v>26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74</v>
      </c>
      <c r="L108" s="1">
        <v>115</v>
      </c>
      <c r="M108" s="1">
        <v>114</v>
      </c>
      <c r="N108" s="1">
        <v>112</v>
      </c>
      <c r="O108" s="1">
        <v>119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460</v>
      </c>
      <c r="W108" s="8">
        <f t="shared" si="10"/>
        <v>465</v>
      </c>
      <c r="X108" s="5" t="str">
        <f>Stat[[#This Row],[服装]]&amp;Stat[[#This Row],[名前]]&amp;Stat[[#This Row],[レアリティ]]</f>
        <v>ユニフォーム渋谷陸斗ICONIC</v>
      </c>
      <c r="Y108" s="5" t="s">
        <v>331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62</v>
      </c>
      <c r="D109" s="1" t="s">
        <v>24</v>
      </c>
      <c r="E109" s="1" t="s">
        <v>25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117</v>
      </c>
      <c r="M109" s="1">
        <v>116</v>
      </c>
      <c r="N109" s="1">
        <v>114</v>
      </c>
      <c r="O109" s="1">
        <v>120</v>
      </c>
      <c r="P109" s="1">
        <v>97</v>
      </c>
      <c r="Q109" s="1">
        <v>116</v>
      </c>
      <c r="R109" s="1">
        <v>116</v>
      </c>
      <c r="S109" s="1">
        <v>117</v>
      </c>
      <c r="T109" s="1">
        <v>116</v>
      </c>
      <c r="U109" s="1">
        <v>31</v>
      </c>
      <c r="V109" s="4">
        <f t="shared" si="9"/>
        <v>467</v>
      </c>
      <c r="W109" s="8">
        <f t="shared" si="10"/>
        <v>465</v>
      </c>
      <c r="X109" s="5" t="str">
        <f>Stat[[#This Row],[服装]]&amp;Stat[[#This Row],[名前]]&amp;Stat[[#This Row],[レアリティ]]</f>
        <v>ユニフォーム池尻隼人ICONIC</v>
      </c>
      <c r="Y109" s="5" t="s">
        <v>332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63</v>
      </c>
      <c r="D110" s="1" t="s">
        <v>28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116</v>
      </c>
      <c r="N110" s="1">
        <v>114</v>
      </c>
      <c r="O110" s="1">
        <v>121</v>
      </c>
      <c r="P110" s="1">
        <v>97</v>
      </c>
      <c r="Q110" s="1">
        <v>116</v>
      </c>
      <c r="R110" s="1">
        <v>116</v>
      </c>
      <c r="S110" s="1">
        <v>117</v>
      </c>
      <c r="T110" s="1">
        <v>116</v>
      </c>
      <c r="U110" s="1">
        <v>41</v>
      </c>
      <c r="V110" s="4">
        <f t="shared" si="9"/>
        <v>472</v>
      </c>
      <c r="W110" s="8">
        <f t="shared" si="10"/>
        <v>465</v>
      </c>
      <c r="X110" s="5" t="str">
        <f>Stat[[#This Row],[服装]]&amp;Stat[[#This Row],[名前]]&amp;Stat[[#This Row],[レアリティ]]</f>
        <v>ユニフォーム十和田良樹ICONIC</v>
      </c>
      <c r="Y110" s="5" t="s">
        <v>333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65</v>
      </c>
      <c r="D111" s="1" t="s">
        <v>28</v>
      </c>
      <c r="E111" s="1" t="s">
        <v>26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116</v>
      </c>
      <c r="M111" s="1">
        <v>114</v>
      </c>
      <c r="N111" s="1">
        <v>112</v>
      </c>
      <c r="O111" s="1">
        <v>118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460</v>
      </c>
      <c r="W111" s="8">
        <f t="shared" si="10"/>
        <v>465</v>
      </c>
      <c r="X111" s="5" t="str">
        <f>Stat[[#This Row],[服装]]&amp;Stat[[#This Row],[名前]]&amp;Stat[[#This Row],[レアリティ]]</f>
        <v>ユニフォーム森岳歩ICONIC</v>
      </c>
      <c r="Y111" s="5" t="s">
        <v>334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66</v>
      </c>
      <c r="D112" s="1" t="s">
        <v>24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121</v>
      </c>
      <c r="M112" s="1">
        <v>117</v>
      </c>
      <c r="N112" s="1">
        <v>114</v>
      </c>
      <c r="O112" s="1">
        <v>121</v>
      </c>
      <c r="P112" s="1">
        <v>97</v>
      </c>
      <c r="Q112" s="1">
        <v>117</v>
      </c>
      <c r="R112" s="1">
        <v>117</v>
      </c>
      <c r="S112" s="1">
        <v>117</v>
      </c>
      <c r="T112" s="1">
        <v>117</v>
      </c>
      <c r="U112" s="1">
        <v>31</v>
      </c>
      <c r="V112" s="4">
        <f t="shared" si="9"/>
        <v>473</v>
      </c>
      <c r="W112" s="8">
        <f t="shared" si="10"/>
        <v>468</v>
      </c>
      <c r="X112" s="5" t="str">
        <f>Stat[[#This Row],[服装]]&amp;Stat[[#This Row],[名前]]&amp;Stat[[#This Row],[レアリティ]]</f>
        <v>ユニフォーム唐松拓巳ICONIC</v>
      </c>
      <c r="Y112" s="5" t="s">
        <v>335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67</v>
      </c>
      <c r="D113" s="1" t="s">
        <v>28</v>
      </c>
      <c r="E113" s="1" t="s">
        <v>25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118</v>
      </c>
      <c r="M113" s="1">
        <v>116</v>
      </c>
      <c r="N113" s="1">
        <v>114</v>
      </c>
      <c r="O113" s="1">
        <v>119</v>
      </c>
      <c r="P113" s="1">
        <v>97</v>
      </c>
      <c r="Q113" s="1">
        <v>117</v>
      </c>
      <c r="R113" s="1">
        <v>116</v>
      </c>
      <c r="S113" s="1">
        <v>117</v>
      </c>
      <c r="T113" s="1">
        <v>116</v>
      </c>
      <c r="U113" s="1">
        <v>31</v>
      </c>
      <c r="V113" s="4">
        <f t="shared" si="9"/>
        <v>467</v>
      </c>
      <c r="W113" s="8">
        <f t="shared" si="10"/>
        <v>466</v>
      </c>
      <c r="X113" s="5" t="str">
        <f>Stat[[#This Row],[服装]]&amp;Stat[[#This Row],[名前]]&amp;Stat[[#This Row],[レアリティ]]</f>
        <v>ユニフォーム田沢裕樹ICONIC</v>
      </c>
      <c r="Y113" s="5" t="s">
        <v>336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68</v>
      </c>
      <c r="D114" s="1" t="s">
        <v>28</v>
      </c>
      <c r="E114" s="1" t="s">
        <v>26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118</v>
      </c>
      <c r="M114" s="1">
        <v>118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9"/>
        <v>468</v>
      </c>
      <c r="W114" s="8">
        <f t="shared" si="10"/>
        <v>465</v>
      </c>
      <c r="X114" s="5" t="str">
        <f>Stat[[#This Row],[服装]]&amp;Stat[[#This Row],[名前]]&amp;Stat[[#This Row],[レアリティ]]</f>
        <v>ユニフォーム子安颯真ICONIC</v>
      </c>
      <c r="Y114" s="5" t="s">
        <v>337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69</v>
      </c>
      <c r="D115" s="1" t="s">
        <v>28</v>
      </c>
      <c r="E115" s="1" t="s">
        <v>21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85</v>
      </c>
      <c r="L115" s="1">
        <v>113</v>
      </c>
      <c r="M115" s="1">
        <v>110</v>
      </c>
      <c r="N115" s="1">
        <v>113</v>
      </c>
      <c r="O115" s="1">
        <v>122</v>
      </c>
      <c r="P115" s="1">
        <v>101</v>
      </c>
      <c r="Q115" s="1">
        <v>110</v>
      </c>
      <c r="R115" s="1">
        <v>122</v>
      </c>
      <c r="S115" s="1">
        <v>118</v>
      </c>
      <c r="T115" s="1">
        <v>120</v>
      </c>
      <c r="U115" s="1">
        <v>41</v>
      </c>
      <c r="V115" s="4">
        <f t="shared" si="9"/>
        <v>458</v>
      </c>
      <c r="W115" s="8">
        <f t="shared" si="10"/>
        <v>470</v>
      </c>
      <c r="X115" s="5" t="str">
        <f>Stat[[#This Row],[服装]]&amp;Stat[[#This Row],[名前]]&amp;Stat[[#This Row],[レアリティ]]</f>
        <v>ユニフォーム横手駿ICONIC</v>
      </c>
      <c r="Y115" s="5" t="s">
        <v>338</v>
      </c>
    </row>
    <row r="116" spans="1:25" ht="15" x14ac:dyDescent="0.35">
      <c r="A116" s="1">
        <f t="shared" si="11"/>
        <v>115</v>
      </c>
      <c r="B116" s="1" t="s">
        <v>108</v>
      </c>
      <c r="C116" s="1" t="s">
        <v>70</v>
      </c>
      <c r="D116" s="1" t="s">
        <v>28</v>
      </c>
      <c r="E116" s="1" t="s">
        <v>31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73</v>
      </c>
      <c r="L116" s="1">
        <v>117</v>
      </c>
      <c r="M116" s="1">
        <v>115</v>
      </c>
      <c r="N116" s="1">
        <v>120</v>
      </c>
      <c r="O116" s="1">
        <v>120</v>
      </c>
      <c r="P116" s="1">
        <v>97</v>
      </c>
      <c r="Q116" s="1">
        <v>117</v>
      </c>
      <c r="R116" s="1">
        <v>114</v>
      </c>
      <c r="S116" s="1">
        <v>116</v>
      </c>
      <c r="T116" s="1">
        <v>116</v>
      </c>
      <c r="U116" s="1">
        <v>31</v>
      </c>
      <c r="V116" s="4">
        <f t="shared" si="9"/>
        <v>472</v>
      </c>
      <c r="W116" s="8">
        <f t="shared" si="10"/>
        <v>463</v>
      </c>
      <c r="X116" s="5" t="str">
        <f>Stat[[#This Row],[服装]]&amp;Stat[[#This Row],[名前]]&amp;Stat[[#This Row],[レアリティ]]</f>
        <v>ユニフォーム夏瀬伊吹ICONIC</v>
      </c>
      <c r="Y116" s="5" t="s">
        <v>339</v>
      </c>
    </row>
    <row r="117" spans="1:25" ht="15" x14ac:dyDescent="0.35">
      <c r="A117" s="1">
        <f>ROW()-1</f>
        <v>116</v>
      </c>
      <c r="B117" s="1" t="s">
        <v>108</v>
      </c>
      <c r="C117" s="1" t="s">
        <v>1159</v>
      </c>
      <c r="D117" s="1" t="s">
        <v>28</v>
      </c>
      <c r="E117" s="1" t="s">
        <v>31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117</v>
      </c>
      <c r="M117" s="1">
        <v>120</v>
      </c>
      <c r="N117" s="1">
        <v>124</v>
      </c>
      <c r="O117" s="1">
        <v>123</v>
      </c>
      <c r="P117" s="1">
        <v>97</v>
      </c>
      <c r="Q117" s="1">
        <v>119</v>
      </c>
      <c r="R117" s="1">
        <v>118</v>
      </c>
      <c r="S117" s="1">
        <v>116</v>
      </c>
      <c r="T117" s="1">
        <v>119</v>
      </c>
      <c r="U117" s="1">
        <v>36</v>
      </c>
      <c r="V117" s="4">
        <f>SUM(L117:O117)</f>
        <v>484</v>
      </c>
      <c r="W117" s="8">
        <f>SUM(Q117:T117)</f>
        <v>472</v>
      </c>
      <c r="X117" s="5" t="str">
        <f>Stat[[#This Row],[服装]]&amp;Stat[[#This Row],[名前]]&amp;Stat[[#This Row],[レアリティ]]</f>
        <v>ユニフォーム秋宮昇ICONIC</v>
      </c>
      <c r="Y117" s="5" t="s">
        <v>1161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72</v>
      </c>
      <c r="D118" s="1" t="s">
        <v>73</v>
      </c>
      <c r="E118" s="1" t="s">
        <v>74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121</v>
      </c>
      <c r="M118" s="1">
        <v>119</v>
      </c>
      <c r="N118" s="1">
        <v>122</v>
      </c>
      <c r="O118" s="1">
        <v>122</v>
      </c>
      <c r="P118" s="1">
        <v>101</v>
      </c>
      <c r="Q118" s="1">
        <v>116</v>
      </c>
      <c r="R118" s="1">
        <v>116</v>
      </c>
      <c r="S118" s="1">
        <v>120</v>
      </c>
      <c r="T118" s="1">
        <v>120</v>
      </c>
      <c r="U118" s="1">
        <v>41</v>
      </c>
      <c r="V118" s="4">
        <f t="shared" si="9"/>
        <v>484</v>
      </c>
      <c r="W118" s="8">
        <f t="shared" si="10"/>
        <v>472</v>
      </c>
      <c r="X118" s="5" t="str">
        <f>Stat[[#This Row],[服装]]&amp;Stat[[#This Row],[名前]]&amp;Stat[[#This Row],[レアリティ]]</f>
        <v>ユニフォーム古牧譲ICONIC</v>
      </c>
      <c r="Y118" s="5" t="s">
        <v>340</v>
      </c>
    </row>
    <row r="119" spans="1:25" ht="15" x14ac:dyDescent="0.35">
      <c r="A119" s="1">
        <f>ROW()-1</f>
        <v>118</v>
      </c>
      <c r="B119" s="1" t="s">
        <v>959</v>
      </c>
      <c r="C119" s="1" t="s">
        <v>72</v>
      </c>
      <c r="D119" s="1" t="s">
        <v>90</v>
      </c>
      <c r="E119" s="1" t="s">
        <v>74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122</v>
      </c>
      <c r="M119" s="1">
        <v>122</v>
      </c>
      <c r="N119" s="1">
        <v>125</v>
      </c>
      <c r="O119" s="1">
        <v>125</v>
      </c>
      <c r="P119" s="1">
        <v>101</v>
      </c>
      <c r="Q119" s="1">
        <v>117</v>
      </c>
      <c r="R119" s="1">
        <v>117</v>
      </c>
      <c r="S119" s="1">
        <v>121</v>
      </c>
      <c r="T119" s="1">
        <v>121</v>
      </c>
      <c r="U119" s="1">
        <v>41</v>
      </c>
      <c r="V119" s="4">
        <f>SUM(L119:O119)</f>
        <v>494</v>
      </c>
      <c r="W119" s="8">
        <f>SUM(Q119:T119)</f>
        <v>476</v>
      </c>
      <c r="X119" s="5" t="str">
        <f>Stat[[#This Row],[服装]]&amp;Stat[[#This Row],[名前]]&amp;Stat[[#This Row],[レアリティ]]</f>
        <v>雪遊び古牧譲ICONIC</v>
      </c>
      <c r="Y119" s="5" t="s">
        <v>340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76</v>
      </c>
      <c r="D120" s="1" t="s">
        <v>77</v>
      </c>
      <c r="E120" s="1" t="s">
        <v>78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118</v>
      </c>
      <c r="M120" s="1">
        <v>116</v>
      </c>
      <c r="N120" s="1">
        <v>114</v>
      </c>
      <c r="O120" s="1">
        <v>117</v>
      </c>
      <c r="P120" s="1">
        <v>97</v>
      </c>
      <c r="Q120" s="1">
        <v>117</v>
      </c>
      <c r="R120" s="1">
        <v>115</v>
      </c>
      <c r="S120" s="1">
        <v>117</v>
      </c>
      <c r="T120" s="1">
        <v>117</v>
      </c>
      <c r="U120" s="1">
        <v>36</v>
      </c>
      <c r="V120" s="4">
        <f t="shared" si="9"/>
        <v>465</v>
      </c>
      <c r="W120" s="8">
        <f t="shared" si="10"/>
        <v>466</v>
      </c>
      <c r="X120" s="5" t="str">
        <f>Stat[[#This Row],[服装]]&amp;Stat[[#This Row],[名前]]&amp;Stat[[#This Row],[レアリティ]]</f>
        <v>ユニフォーム浅虫快人ICONIC</v>
      </c>
      <c r="Y120" s="5" t="s">
        <v>341</v>
      </c>
    </row>
    <row r="121" spans="1:25" ht="15" x14ac:dyDescent="0.35">
      <c r="A121" s="1">
        <f t="shared" si="11"/>
        <v>120</v>
      </c>
      <c r="B121" s="1" t="s">
        <v>108</v>
      </c>
      <c r="C121" s="1" t="s">
        <v>79</v>
      </c>
      <c r="D121" s="1" t="s">
        <v>73</v>
      </c>
      <c r="E121" s="1" t="s">
        <v>80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85</v>
      </c>
      <c r="L121" s="1">
        <v>112</v>
      </c>
      <c r="M121" s="1">
        <v>110</v>
      </c>
      <c r="N121" s="1">
        <v>114</v>
      </c>
      <c r="O121" s="1">
        <v>121</v>
      </c>
      <c r="P121" s="1">
        <v>101</v>
      </c>
      <c r="Q121" s="1">
        <v>110</v>
      </c>
      <c r="R121" s="1">
        <v>122</v>
      </c>
      <c r="S121" s="1">
        <v>118</v>
      </c>
      <c r="T121" s="1">
        <v>120</v>
      </c>
      <c r="U121" s="1">
        <v>41</v>
      </c>
      <c r="V121" s="4">
        <f t="shared" si="9"/>
        <v>457</v>
      </c>
      <c r="W121" s="8">
        <f t="shared" si="10"/>
        <v>470</v>
      </c>
      <c r="X121" s="5" t="str">
        <f>Stat[[#This Row],[服装]]&amp;Stat[[#This Row],[名前]]&amp;Stat[[#This Row],[レアリティ]]</f>
        <v>ユニフォーム南田大志ICONIC</v>
      </c>
      <c r="Y121" s="5" t="s">
        <v>342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81</v>
      </c>
      <c r="D122" s="1" t="s">
        <v>73</v>
      </c>
      <c r="E122" s="1" t="s">
        <v>82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116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116</v>
      </c>
      <c r="T122" s="1">
        <v>116</v>
      </c>
      <c r="U122" s="1">
        <v>31</v>
      </c>
      <c r="V122" s="4">
        <f t="shared" si="9"/>
        <v>464</v>
      </c>
      <c r="W122" s="8">
        <f t="shared" si="10"/>
        <v>467</v>
      </c>
      <c r="X122" s="5" t="str">
        <f>Stat[[#This Row],[服装]]&amp;Stat[[#This Row],[名前]]&amp;Stat[[#This Row],[レアリティ]]</f>
        <v>ユニフォーム湯川良明ICONIC</v>
      </c>
      <c r="Y122" s="5" t="s">
        <v>343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83</v>
      </c>
      <c r="D123" s="1" t="s">
        <v>84</v>
      </c>
      <c r="E123" s="1" t="s">
        <v>85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120</v>
      </c>
      <c r="M123" s="1">
        <v>117</v>
      </c>
      <c r="N123" s="1">
        <v>114</v>
      </c>
      <c r="O123" s="1">
        <v>117</v>
      </c>
      <c r="P123" s="1">
        <v>97</v>
      </c>
      <c r="Q123" s="1">
        <v>115</v>
      </c>
      <c r="R123" s="1">
        <v>114</v>
      </c>
      <c r="S123" s="1">
        <v>116</v>
      </c>
      <c r="T123" s="1">
        <v>116</v>
      </c>
      <c r="U123" s="1">
        <v>31</v>
      </c>
      <c r="V123" s="4">
        <f t="shared" si="9"/>
        <v>468</v>
      </c>
      <c r="W123" s="8">
        <f t="shared" si="10"/>
        <v>461</v>
      </c>
      <c r="X123" s="5" t="str">
        <f>Stat[[#This Row],[服装]]&amp;Stat[[#This Row],[名前]]&amp;Stat[[#This Row],[レアリティ]]</f>
        <v>ユニフォーム稲垣功ICONIC</v>
      </c>
      <c r="Y123" s="5" t="s">
        <v>344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86</v>
      </c>
      <c r="D124" s="1" t="s">
        <v>84</v>
      </c>
      <c r="E124" s="1" t="s">
        <v>87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115</v>
      </c>
      <c r="M124" s="1">
        <v>115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117</v>
      </c>
      <c r="T124" s="1">
        <v>116</v>
      </c>
      <c r="U124" s="1">
        <v>31</v>
      </c>
      <c r="V124" s="4">
        <f t="shared" si="9"/>
        <v>462</v>
      </c>
      <c r="W124" s="8">
        <f t="shared" si="10"/>
        <v>468</v>
      </c>
      <c r="X124" s="5" t="str">
        <f>Stat[[#This Row],[服装]]&amp;Stat[[#This Row],[名前]]&amp;Stat[[#This Row],[レアリティ]]</f>
        <v>ユニフォーム馬門英治ICONIC</v>
      </c>
      <c r="Y124" s="5" t="s">
        <v>345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88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119</v>
      </c>
      <c r="M125" s="1">
        <v>118</v>
      </c>
      <c r="N125" s="1">
        <v>115</v>
      </c>
      <c r="O125" s="1">
        <v>117</v>
      </c>
      <c r="P125" s="1">
        <v>97</v>
      </c>
      <c r="Q125" s="1">
        <v>116</v>
      </c>
      <c r="R125" s="1">
        <v>115</v>
      </c>
      <c r="S125" s="1">
        <v>116</v>
      </c>
      <c r="T125" s="1">
        <v>116</v>
      </c>
      <c r="U125" s="1">
        <v>31</v>
      </c>
      <c r="V125" s="4">
        <f t="shared" si="9"/>
        <v>469</v>
      </c>
      <c r="W125" s="8">
        <f t="shared" si="10"/>
        <v>463</v>
      </c>
      <c r="X125" s="5" t="str">
        <f>Stat[[#This Row],[服装]]&amp;Stat[[#This Row],[名前]]&amp;Stat[[#This Row],[レアリティ]]</f>
        <v>ユニフォーム百沢雄大ICONIC</v>
      </c>
      <c r="Y125" s="5" t="s">
        <v>346</v>
      </c>
    </row>
    <row r="126" spans="1:25" ht="15" x14ac:dyDescent="0.35">
      <c r="A126" s="1">
        <f t="shared" si="11"/>
        <v>125</v>
      </c>
      <c r="B126" s="1" t="s">
        <v>702</v>
      </c>
      <c r="C126" s="1" t="s">
        <v>88</v>
      </c>
      <c r="D126" s="1" t="s">
        <v>90</v>
      </c>
      <c r="E126" s="1" t="s">
        <v>78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122</v>
      </c>
      <c r="M126" s="1">
        <v>121</v>
      </c>
      <c r="N126" s="1">
        <v>116</v>
      </c>
      <c r="O126" s="1">
        <v>118</v>
      </c>
      <c r="P126" s="1">
        <v>97</v>
      </c>
      <c r="Q126" s="1">
        <v>117</v>
      </c>
      <c r="R126" s="1">
        <v>116</v>
      </c>
      <c r="S126" s="1">
        <v>119</v>
      </c>
      <c r="T126" s="1">
        <v>117</v>
      </c>
      <c r="U126" s="1">
        <v>31</v>
      </c>
      <c r="V126" s="4">
        <f t="shared" si="9"/>
        <v>477</v>
      </c>
      <c r="W126" s="8">
        <f t="shared" si="10"/>
        <v>469</v>
      </c>
      <c r="X126" s="5" t="str">
        <f>Stat[[#This Row],[服装]]&amp;Stat[[#This Row],[名前]]&amp;Stat[[#This Row],[レアリティ]]</f>
        <v>職業体験百沢雄大ICONIC</v>
      </c>
      <c r="Y126" s="5" t="s">
        <v>346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89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122</v>
      </c>
      <c r="M127" s="1">
        <v>121</v>
      </c>
      <c r="N127" s="1">
        <v>114</v>
      </c>
      <c r="O127" s="1">
        <v>122</v>
      </c>
      <c r="P127" s="1">
        <v>101</v>
      </c>
      <c r="Q127" s="1">
        <v>114</v>
      </c>
      <c r="R127" s="1">
        <v>115</v>
      </c>
      <c r="S127" s="1">
        <v>118</v>
      </c>
      <c r="T127" s="1">
        <v>120</v>
      </c>
      <c r="U127" s="1">
        <v>41</v>
      </c>
      <c r="V127" s="4">
        <f t="shared" si="9"/>
        <v>479</v>
      </c>
      <c r="W127" s="8">
        <f t="shared" si="10"/>
        <v>467</v>
      </c>
      <c r="X127" s="5" t="str">
        <f>Stat[[#This Row],[服装]]&amp;Stat[[#This Row],[名前]]&amp;Stat[[#This Row],[レアリティ]]</f>
        <v>ユニフォーム照島游児ICONIC</v>
      </c>
      <c r="Y127" s="5" t="s">
        <v>347</v>
      </c>
    </row>
    <row r="128" spans="1:25" ht="15" x14ac:dyDescent="0.35">
      <c r="A128" s="1">
        <f t="shared" si="11"/>
        <v>127</v>
      </c>
      <c r="B128" s="1" t="s">
        <v>149</v>
      </c>
      <c r="C128" s="1" t="s">
        <v>89</v>
      </c>
      <c r="D128" s="1" t="s">
        <v>77</v>
      </c>
      <c r="E128" s="1" t="s">
        <v>78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125</v>
      </c>
      <c r="M128" s="1">
        <v>124</v>
      </c>
      <c r="N128" s="1">
        <v>115</v>
      </c>
      <c r="O128" s="1">
        <v>123</v>
      </c>
      <c r="P128" s="1">
        <v>101</v>
      </c>
      <c r="Q128" s="1">
        <v>115</v>
      </c>
      <c r="R128" s="1">
        <v>116</v>
      </c>
      <c r="S128" s="1">
        <v>121</v>
      </c>
      <c r="T128" s="1">
        <v>121</v>
      </c>
      <c r="U128" s="1">
        <v>41</v>
      </c>
      <c r="V128" s="4">
        <f t="shared" si="9"/>
        <v>487</v>
      </c>
      <c r="W128" s="8">
        <f t="shared" si="10"/>
        <v>473</v>
      </c>
      <c r="X128" s="5" t="str">
        <f>Stat[[#This Row],[服装]]&amp;Stat[[#This Row],[名前]]&amp;Stat[[#This Row],[レアリティ]]</f>
        <v>制服照島游児ICONIC</v>
      </c>
      <c r="Y128" s="5" t="s">
        <v>347</v>
      </c>
    </row>
    <row r="129" spans="1:25" ht="15" x14ac:dyDescent="0.35">
      <c r="A129" s="1">
        <f>ROW()-1</f>
        <v>128</v>
      </c>
      <c r="B129" s="1" t="s">
        <v>959</v>
      </c>
      <c r="C129" s="1" t="s">
        <v>89</v>
      </c>
      <c r="D129" s="1" t="s">
        <v>960</v>
      </c>
      <c r="E129" s="1" t="s">
        <v>78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128</v>
      </c>
      <c r="M129" s="1">
        <v>121</v>
      </c>
      <c r="N129" s="1">
        <v>115</v>
      </c>
      <c r="O129" s="1">
        <v>120</v>
      </c>
      <c r="P129" s="1">
        <v>101</v>
      </c>
      <c r="Q129" s="1">
        <v>116</v>
      </c>
      <c r="R129" s="1">
        <v>116</v>
      </c>
      <c r="S129" s="1">
        <v>123</v>
      </c>
      <c r="T129" s="1">
        <v>121</v>
      </c>
      <c r="U129" s="1">
        <v>41</v>
      </c>
      <c r="V129" s="4">
        <f>SUM(L129:O129)</f>
        <v>484</v>
      </c>
      <c r="W129" s="8">
        <f>SUM(Q129:T129)</f>
        <v>476</v>
      </c>
      <c r="X129" s="5" t="str">
        <f>Stat[[#This Row],[服装]]&amp;Stat[[#This Row],[名前]]&amp;Stat[[#This Row],[レアリティ]]</f>
        <v>雪遊び照島游児ICONIC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108</v>
      </c>
      <c r="C130" s="1" t="s">
        <v>92</v>
      </c>
      <c r="D130" s="1" t="s">
        <v>90</v>
      </c>
      <c r="E130" s="1" t="s">
        <v>87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117</v>
      </c>
      <c r="M130" s="1">
        <v>115</v>
      </c>
      <c r="N130" s="1">
        <v>112</v>
      </c>
      <c r="O130" s="1">
        <v>120</v>
      </c>
      <c r="P130" s="1">
        <v>97</v>
      </c>
      <c r="Q130" s="1">
        <v>121</v>
      </c>
      <c r="R130" s="1">
        <v>115</v>
      </c>
      <c r="S130" s="1">
        <v>117</v>
      </c>
      <c r="T130" s="1">
        <v>117</v>
      </c>
      <c r="U130" s="1">
        <v>41</v>
      </c>
      <c r="V130" s="4">
        <f t="shared" si="9"/>
        <v>464</v>
      </c>
      <c r="W130" s="8">
        <f t="shared" si="10"/>
        <v>470</v>
      </c>
      <c r="X130" s="5" t="str">
        <f>Stat[[#This Row],[服装]]&amp;Stat[[#This Row],[名前]]&amp;Stat[[#This Row],[レアリティ]]</f>
        <v>ユニフォーム母畑和馬ICONIC</v>
      </c>
      <c r="Y130" s="5" t="s">
        <v>348</v>
      </c>
    </row>
    <row r="131" spans="1:25" ht="13.8" customHeight="1" x14ac:dyDescent="0.35">
      <c r="A131" s="1">
        <f t="shared" si="11"/>
        <v>130</v>
      </c>
      <c r="B131" s="1" t="s">
        <v>108</v>
      </c>
      <c r="C131" s="1" t="s">
        <v>93</v>
      </c>
      <c r="D131" s="1" t="s">
        <v>84</v>
      </c>
      <c r="E131" s="1" t="s">
        <v>97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115</v>
      </c>
      <c r="M131" s="1">
        <v>114</v>
      </c>
      <c r="N131" s="1">
        <v>120</v>
      </c>
      <c r="O131" s="1">
        <v>120</v>
      </c>
      <c r="P131" s="1">
        <v>97</v>
      </c>
      <c r="Q131" s="1">
        <v>117</v>
      </c>
      <c r="R131" s="1">
        <v>114</v>
      </c>
      <c r="S131" s="1">
        <v>116</v>
      </c>
      <c r="T131" s="1">
        <v>117</v>
      </c>
      <c r="U131" s="1">
        <v>41</v>
      </c>
      <c r="V131" s="4">
        <f t="shared" si="9"/>
        <v>469</v>
      </c>
      <c r="W131" s="8">
        <f t="shared" si="10"/>
        <v>464</v>
      </c>
      <c r="X131" s="5" t="str">
        <f>Stat[[#This Row],[服装]]&amp;Stat[[#This Row],[名前]]&amp;Stat[[#This Row],[レアリティ]]</f>
        <v>ユニフォーム二岐丈晴ICONIC</v>
      </c>
      <c r="Y131" s="5" t="s">
        <v>349</v>
      </c>
    </row>
    <row r="132" spans="1:25" ht="15" x14ac:dyDescent="0.35">
      <c r="A132" s="1">
        <f t="shared" si="11"/>
        <v>131</v>
      </c>
      <c r="B132" s="1" t="s">
        <v>149</v>
      </c>
      <c r="C132" s="1" t="s">
        <v>93</v>
      </c>
      <c r="D132" s="1" t="s">
        <v>90</v>
      </c>
      <c r="E132" s="1" t="s">
        <v>74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116</v>
      </c>
      <c r="M132" s="1">
        <v>117</v>
      </c>
      <c r="N132" s="1">
        <v>123</v>
      </c>
      <c r="O132" s="1">
        <v>123</v>
      </c>
      <c r="P132" s="1">
        <v>97</v>
      </c>
      <c r="Q132" s="1">
        <v>118</v>
      </c>
      <c r="R132" s="1">
        <v>115</v>
      </c>
      <c r="S132" s="1">
        <v>117</v>
      </c>
      <c r="T132" s="1">
        <v>118</v>
      </c>
      <c r="U132" s="1">
        <v>41</v>
      </c>
      <c r="V132" s="4">
        <f t="shared" si="9"/>
        <v>479</v>
      </c>
      <c r="W132" s="8">
        <f t="shared" si="10"/>
        <v>468</v>
      </c>
      <c r="X132" s="5" t="str">
        <f>Stat[[#This Row],[服装]]&amp;Stat[[#This Row],[名前]]&amp;Stat[[#This Row],[レアリティ]]</f>
        <v>制服二岐丈晴ICONIC</v>
      </c>
      <c r="Y132" s="5" t="s">
        <v>349</v>
      </c>
    </row>
    <row r="133" spans="1:25" ht="15" x14ac:dyDescent="0.35">
      <c r="A133" s="1">
        <f t="shared" si="11"/>
        <v>132</v>
      </c>
      <c r="B133" s="1" t="s">
        <v>108</v>
      </c>
      <c r="C133" s="1" t="s">
        <v>99</v>
      </c>
      <c r="D133" s="1" t="s">
        <v>84</v>
      </c>
      <c r="E133" s="1" t="s">
        <v>85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120</v>
      </c>
      <c r="M133" s="1">
        <v>119</v>
      </c>
      <c r="N133" s="1">
        <v>113</v>
      </c>
      <c r="O133" s="1">
        <v>118</v>
      </c>
      <c r="P133" s="1">
        <v>97</v>
      </c>
      <c r="Q133" s="1">
        <v>115</v>
      </c>
      <c r="R133" s="1">
        <v>115</v>
      </c>
      <c r="S133" s="1">
        <v>116</v>
      </c>
      <c r="T133" s="1">
        <v>116</v>
      </c>
      <c r="U133" s="1">
        <v>41</v>
      </c>
      <c r="V133" s="4">
        <f t="shared" si="9"/>
        <v>470</v>
      </c>
      <c r="W133" s="8">
        <f t="shared" si="10"/>
        <v>462</v>
      </c>
      <c r="X133" s="5" t="str">
        <f>Stat[[#This Row],[服装]]&amp;Stat[[#This Row],[名前]]&amp;Stat[[#This Row],[レアリティ]]</f>
        <v>ユニフォーム沼尻凛太郎ICONIC</v>
      </c>
      <c r="Y133" s="5" t="s">
        <v>350</v>
      </c>
    </row>
    <row r="134" spans="1:25" ht="15" x14ac:dyDescent="0.35">
      <c r="A134" s="1">
        <f t="shared" ref="A134:A173" si="12">ROW()-1</f>
        <v>133</v>
      </c>
      <c r="B134" s="1" t="s">
        <v>108</v>
      </c>
      <c r="C134" s="1" t="s">
        <v>94</v>
      </c>
      <c r="D134" s="1" t="s">
        <v>90</v>
      </c>
      <c r="E134" s="1" t="s">
        <v>87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116</v>
      </c>
      <c r="M134" s="1">
        <v>115</v>
      </c>
      <c r="N134" s="1">
        <v>113</v>
      </c>
      <c r="O134" s="1">
        <v>117</v>
      </c>
      <c r="P134" s="1">
        <v>97</v>
      </c>
      <c r="Q134" s="1">
        <v>121</v>
      </c>
      <c r="R134" s="1">
        <v>115</v>
      </c>
      <c r="S134" s="1">
        <v>116</v>
      </c>
      <c r="T134" s="1">
        <v>117</v>
      </c>
      <c r="U134" s="1">
        <v>41</v>
      </c>
      <c r="V134" s="4">
        <f t="shared" si="9"/>
        <v>461</v>
      </c>
      <c r="W134" s="8">
        <f t="shared" si="10"/>
        <v>469</v>
      </c>
      <c r="X134" s="5" t="str">
        <f>Stat[[#This Row],[服装]]&amp;Stat[[#This Row],[名前]]&amp;Stat[[#This Row],[レアリティ]]</f>
        <v>ユニフォーム飯坂信義ICONIC</v>
      </c>
      <c r="Y134" s="5" t="s">
        <v>351</v>
      </c>
    </row>
    <row r="135" spans="1:25" ht="15" x14ac:dyDescent="0.35">
      <c r="A135" s="1">
        <f t="shared" si="12"/>
        <v>134</v>
      </c>
      <c r="B135" s="1" t="s">
        <v>108</v>
      </c>
      <c r="C135" s="1" t="s">
        <v>95</v>
      </c>
      <c r="D135" s="1" t="s">
        <v>90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118</v>
      </c>
      <c r="M135" s="1">
        <v>118</v>
      </c>
      <c r="N135" s="1">
        <v>113</v>
      </c>
      <c r="O135" s="1">
        <v>120</v>
      </c>
      <c r="P135" s="1">
        <v>97</v>
      </c>
      <c r="Q135" s="1">
        <v>115</v>
      </c>
      <c r="R135" s="1">
        <v>115</v>
      </c>
      <c r="S135" s="1">
        <v>120</v>
      </c>
      <c r="T135" s="1">
        <v>120</v>
      </c>
      <c r="U135" s="1">
        <v>41</v>
      </c>
      <c r="V135" s="4">
        <f t="shared" si="9"/>
        <v>469</v>
      </c>
      <c r="W135" s="8">
        <f t="shared" si="10"/>
        <v>470</v>
      </c>
      <c r="X135" s="5" t="str">
        <f>Stat[[#This Row],[服装]]&amp;Stat[[#This Row],[名前]]&amp;Stat[[#This Row],[レアリティ]]</f>
        <v>ユニフォーム東山勝道ICONIC</v>
      </c>
      <c r="Y135" s="5" t="s">
        <v>352</v>
      </c>
    </row>
    <row r="136" spans="1:25" ht="15" x14ac:dyDescent="0.35">
      <c r="A136" s="1">
        <f t="shared" si="12"/>
        <v>135</v>
      </c>
      <c r="B136" s="1" t="s">
        <v>108</v>
      </c>
      <c r="C136" s="1" t="s">
        <v>96</v>
      </c>
      <c r="D136" s="1" t="s">
        <v>90</v>
      </c>
      <c r="E136" s="1" t="s">
        <v>98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85</v>
      </c>
      <c r="L136" s="1">
        <v>112</v>
      </c>
      <c r="M136" s="1">
        <v>110</v>
      </c>
      <c r="N136" s="1">
        <v>114</v>
      </c>
      <c r="O136" s="1">
        <v>120</v>
      </c>
      <c r="P136" s="1">
        <v>101</v>
      </c>
      <c r="Q136" s="1">
        <v>110</v>
      </c>
      <c r="R136" s="1">
        <v>120</v>
      </c>
      <c r="S136" s="1">
        <v>119</v>
      </c>
      <c r="T136" s="1">
        <v>120</v>
      </c>
      <c r="U136" s="1">
        <v>41</v>
      </c>
      <c r="V136" s="4">
        <f t="shared" si="9"/>
        <v>456</v>
      </c>
      <c r="W136" s="8">
        <f t="shared" si="10"/>
        <v>469</v>
      </c>
      <c r="X136" s="5" t="str">
        <f>Stat[[#This Row],[服装]]&amp;Stat[[#This Row],[名前]]&amp;Stat[[#This Row],[レアリティ]]</f>
        <v>ユニフォーム土湯新ICONIC</v>
      </c>
      <c r="Y136" s="5" t="s">
        <v>353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100</v>
      </c>
      <c r="D137" s="1" t="s">
        <v>77</v>
      </c>
      <c r="E137" s="1" t="s">
        <v>78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123</v>
      </c>
      <c r="M137" s="1">
        <v>121</v>
      </c>
      <c r="N137" s="1">
        <v>113</v>
      </c>
      <c r="O137" s="1">
        <v>121</v>
      </c>
      <c r="P137" s="1">
        <v>97</v>
      </c>
      <c r="Q137" s="1">
        <v>115</v>
      </c>
      <c r="R137" s="1">
        <v>115</v>
      </c>
      <c r="S137" s="1">
        <v>120</v>
      </c>
      <c r="T137" s="1">
        <v>121</v>
      </c>
      <c r="U137" s="1">
        <v>41</v>
      </c>
      <c r="V137" s="4">
        <f t="shared" si="9"/>
        <v>478</v>
      </c>
      <c r="W137" s="8">
        <f t="shared" si="10"/>
        <v>471</v>
      </c>
      <c r="X137" s="5" t="str">
        <f>Stat[[#This Row],[服装]]&amp;Stat[[#This Row],[名前]]&amp;Stat[[#This Row],[レアリティ]]</f>
        <v>ユニフォーム中島猛ICONIC</v>
      </c>
      <c r="Y137" s="5" t="s">
        <v>354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101</v>
      </c>
      <c r="D138" s="1" t="s">
        <v>90</v>
      </c>
      <c r="E138" s="1" t="s">
        <v>78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80</v>
      </c>
      <c r="L138" s="1">
        <v>119</v>
      </c>
      <c r="M138" s="1">
        <v>116</v>
      </c>
      <c r="N138" s="1">
        <v>113</v>
      </c>
      <c r="O138" s="1">
        <v>117</v>
      </c>
      <c r="P138" s="1">
        <v>97</v>
      </c>
      <c r="Q138" s="1">
        <v>113</v>
      </c>
      <c r="R138" s="1">
        <v>115</v>
      </c>
      <c r="S138" s="1">
        <v>115</v>
      </c>
      <c r="T138" s="1">
        <v>116</v>
      </c>
      <c r="U138" s="1">
        <v>31</v>
      </c>
      <c r="V138" s="4">
        <f t="shared" si="9"/>
        <v>465</v>
      </c>
      <c r="W138" s="8">
        <f t="shared" si="10"/>
        <v>459</v>
      </c>
      <c r="X138" s="5" t="str">
        <f>Stat[[#This Row],[服装]]&amp;Stat[[#This Row],[名前]]&amp;Stat[[#This Row],[レアリティ]]</f>
        <v>ユニフォーム白石優希ICONIC</v>
      </c>
      <c r="Y138" s="5" t="s">
        <v>355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102</v>
      </c>
      <c r="D139" s="1" t="s">
        <v>77</v>
      </c>
      <c r="E139" s="1" t="s">
        <v>74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119</v>
      </c>
      <c r="M139" s="1">
        <v>121</v>
      </c>
      <c r="N139" s="1">
        <v>122</v>
      </c>
      <c r="O139" s="1">
        <v>121</v>
      </c>
      <c r="P139" s="1">
        <v>97</v>
      </c>
      <c r="Q139" s="1">
        <v>119</v>
      </c>
      <c r="R139" s="1">
        <v>119</v>
      </c>
      <c r="S139" s="1">
        <v>118</v>
      </c>
      <c r="T139" s="1">
        <v>118</v>
      </c>
      <c r="U139" s="1">
        <v>41</v>
      </c>
      <c r="V139" s="4">
        <f t="shared" si="9"/>
        <v>483</v>
      </c>
      <c r="W139" s="8">
        <f t="shared" si="10"/>
        <v>474</v>
      </c>
      <c r="X139" s="5" t="str">
        <f>Stat[[#This Row],[服装]]&amp;Stat[[#This Row],[名前]]&amp;Stat[[#This Row],[レアリティ]]</f>
        <v>ユニフォーム花山一雅ICONIC</v>
      </c>
      <c r="Y139" s="5" t="s">
        <v>356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103</v>
      </c>
      <c r="D140" s="1" t="s">
        <v>77</v>
      </c>
      <c r="E140" s="1" t="s">
        <v>82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114</v>
      </c>
      <c r="M140" s="1">
        <v>114</v>
      </c>
      <c r="N140" s="1">
        <v>113</v>
      </c>
      <c r="O140" s="1">
        <v>117</v>
      </c>
      <c r="P140" s="1">
        <v>97</v>
      </c>
      <c r="Q140" s="1">
        <v>121</v>
      </c>
      <c r="R140" s="1">
        <v>115</v>
      </c>
      <c r="S140" s="1">
        <v>116</v>
      </c>
      <c r="T140" s="1">
        <v>117</v>
      </c>
      <c r="U140" s="1">
        <v>31</v>
      </c>
      <c r="V140" s="4">
        <f t="shared" si="9"/>
        <v>458</v>
      </c>
      <c r="W140" s="8">
        <f t="shared" si="10"/>
        <v>469</v>
      </c>
      <c r="X140" s="5" t="str">
        <f>Stat[[#This Row],[服装]]&amp;Stat[[#This Row],[名前]]&amp;Stat[[#This Row],[レアリティ]]</f>
        <v>ユニフォーム鳴子哲平ICONIC</v>
      </c>
      <c r="Y140" s="5" t="s">
        <v>357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104</v>
      </c>
      <c r="D141" s="1" t="s">
        <v>77</v>
      </c>
      <c r="E141" s="1" t="s">
        <v>80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85</v>
      </c>
      <c r="L141" s="1">
        <v>112</v>
      </c>
      <c r="M141" s="1">
        <v>110</v>
      </c>
      <c r="N141" s="1">
        <v>114</v>
      </c>
      <c r="O141" s="1">
        <v>120</v>
      </c>
      <c r="P141" s="1">
        <v>101</v>
      </c>
      <c r="Q141" s="1">
        <v>110</v>
      </c>
      <c r="R141" s="1">
        <v>121</v>
      </c>
      <c r="S141" s="1">
        <v>119</v>
      </c>
      <c r="T141" s="1">
        <v>120</v>
      </c>
      <c r="U141" s="1">
        <v>41</v>
      </c>
      <c r="V141" s="4">
        <f t="shared" si="9"/>
        <v>456</v>
      </c>
      <c r="W141" s="8">
        <f t="shared" si="10"/>
        <v>470</v>
      </c>
      <c r="X141" s="5" t="str">
        <f>Stat[[#This Row],[服装]]&amp;Stat[[#This Row],[名前]]&amp;Stat[[#This Row],[レアリティ]]</f>
        <v>ユニフォーム秋保和光ICONIC</v>
      </c>
      <c r="Y141" s="5" t="s">
        <v>358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105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114</v>
      </c>
      <c r="M142" s="1">
        <v>115</v>
      </c>
      <c r="N142" s="1">
        <v>113</v>
      </c>
      <c r="O142" s="1">
        <v>118</v>
      </c>
      <c r="P142" s="1">
        <v>97</v>
      </c>
      <c r="Q142" s="1">
        <v>121</v>
      </c>
      <c r="R142" s="1">
        <v>117</v>
      </c>
      <c r="S142" s="1">
        <v>116</v>
      </c>
      <c r="T142" s="1">
        <v>117</v>
      </c>
      <c r="U142" s="1">
        <v>31</v>
      </c>
      <c r="V142" s="4">
        <f t="shared" si="9"/>
        <v>460</v>
      </c>
      <c r="W142" s="8">
        <f t="shared" si="10"/>
        <v>471</v>
      </c>
      <c r="X142" s="5" t="str">
        <f>Stat[[#This Row],[服装]]&amp;Stat[[#This Row],[名前]]&amp;Stat[[#This Row],[レアリティ]]</f>
        <v>ユニフォーム松島剛ICONIC</v>
      </c>
      <c r="Y142" s="5" t="s">
        <v>360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106</v>
      </c>
      <c r="D143" s="1" t="s">
        <v>77</v>
      </c>
      <c r="E143" s="1" t="s">
        <v>78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121</v>
      </c>
      <c r="M143" s="1">
        <v>118</v>
      </c>
      <c r="N143" s="1">
        <v>114</v>
      </c>
      <c r="O143" s="1">
        <v>120</v>
      </c>
      <c r="P143" s="1">
        <v>101</v>
      </c>
      <c r="Q143" s="1">
        <v>116</v>
      </c>
      <c r="R143" s="1">
        <v>116</v>
      </c>
      <c r="S143" s="1">
        <v>118</v>
      </c>
      <c r="T143" s="1">
        <v>118</v>
      </c>
      <c r="U143" s="1">
        <v>36</v>
      </c>
      <c r="V143" s="4">
        <f t="shared" si="9"/>
        <v>473</v>
      </c>
      <c r="W143" s="8">
        <f t="shared" si="10"/>
        <v>468</v>
      </c>
      <c r="X143" s="5" t="str">
        <f>Stat[[#This Row],[服装]]&amp;Stat[[#This Row],[名前]]&amp;Stat[[#This Row],[レアリティ]]</f>
        <v>ユニフォーム川渡瞬己ICONIC</v>
      </c>
      <c r="Y143" s="5" t="s">
        <v>359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109</v>
      </c>
      <c r="D144" s="1" t="s">
        <v>73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82</v>
      </c>
      <c r="L144" s="1">
        <v>130</v>
      </c>
      <c r="M144" s="1">
        <v>130</v>
      </c>
      <c r="N144" s="1">
        <v>114</v>
      </c>
      <c r="O144" s="1">
        <v>123</v>
      </c>
      <c r="P144" s="1">
        <v>101</v>
      </c>
      <c r="Q144" s="1">
        <v>116</v>
      </c>
      <c r="R144" s="1">
        <v>116</v>
      </c>
      <c r="S144" s="1">
        <v>120</v>
      </c>
      <c r="T144" s="1">
        <v>120</v>
      </c>
      <c r="U144" s="1">
        <v>41</v>
      </c>
      <c r="V144" s="4">
        <f t="shared" si="9"/>
        <v>497</v>
      </c>
      <c r="W144" s="8">
        <f t="shared" si="10"/>
        <v>472</v>
      </c>
      <c r="X144" s="5" t="str">
        <f>Stat[[#This Row],[服装]]&amp;Stat[[#This Row],[名前]]&amp;Stat[[#This Row],[レアリティ]]</f>
        <v>ユニフォーム牛島若利ICONIC</v>
      </c>
      <c r="Y144" s="5" t="s">
        <v>361</v>
      </c>
    </row>
    <row r="145" spans="1:25" ht="15" x14ac:dyDescent="0.35">
      <c r="A145" s="1">
        <f t="shared" si="12"/>
        <v>144</v>
      </c>
      <c r="B145" s="1" t="s">
        <v>116</v>
      </c>
      <c r="C145" s="1" t="s">
        <v>109</v>
      </c>
      <c r="D145" s="1" t="s">
        <v>90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83</v>
      </c>
      <c r="L145" s="1">
        <v>133</v>
      </c>
      <c r="M145" s="1">
        <v>133</v>
      </c>
      <c r="N145" s="1">
        <v>115</v>
      </c>
      <c r="O145" s="1">
        <v>124</v>
      </c>
      <c r="P145" s="1">
        <v>101</v>
      </c>
      <c r="Q145" s="1">
        <v>117</v>
      </c>
      <c r="R145" s="1">
        <v>117</v>
      </c>
      <c r="S145" s="1">
        <v>123</v>
      </c>
      <c r="T145" s="1">
        <v>121</v>
      </c>
      <c r="U145" s="1">
        <v>41</v>
      </c>
      <c r="V145" s="4">
        <f t="shared" si="9"/>
        <v>505</v>
      </c>
      <c r="W145" s="8">
        <f t="shared" si="10"/>
        <v>478</v>
      </c>
      <c r="X145" s="5" t="str">
        <f>Stat[[#This Row],[服装]]&amp;Stat[[#This Row],[名前]]&amp;Stat[[#This Row],[レアリティ]]</f>
        <v>水着牛島若利ICONIC</v>
      </c>
      <c r="Y145" s="5" t="s">
        <v>361</v>
      </c>
    </row>
    <row r="146" spans="1:25" ht="15" x14ac:dyDescent="0.35">
      <c r="A146" s="1">
        <f>ROW()-1</f>
        <v>145</v>
      </c>
      <c r="B146" s="1" t="s">
        <v>935</v>
      </c>
      <c r="C146" s="1" t="s">
        <v>109</v>
      </c>
      <c r="D146" s="1" t="s">
        <v>77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83</v>
      </c>
      <c r="L146" s="1">
        <v>136</v>
      </c>
      <c r="M146" s="1">
        <v>135</v>
      </c>
      <c r="N146" s="1">
        <v>115</v>
      </c>
      <c r="O146" s="1">
        <v>125</v>
      </c>
      <c r="P146" s="1">
        <v>101</v>
      </c>
      <c r="Q146" s="1">
        <v>115</v>
      </c>
      <c r="R146" s="1">
        <v>115</v>
      </c>
      <c r="S146" s="1">
        <v>122</v>
      </c>
      <c r="T146" s="1">
        <v>120</v>
      </c>
      <c r="U146" s="1">
        <v>41</v>
      </c>
      <c r="V146" s="4">
        <f t="shared" si="9"/>
        <v>511</v>
      </c>
      <c r="W146" s="8">
        <f t="shared" si="10"/>
        <v>472</v>
      </c>
      <c r="X146" s="5" t="str">
        <f>Stat[[#This Row],[服装]]&amp;Stat[[#This Row],[名前]]&amp;Stat[[#This Row],[レアリティ]]</f>
        <v>新年牛島若利ICONIC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110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81</v>
      </c>
      <c r="L147" s="1">
        <v>123</v>
      </c>
      <c r="M147" s="1">
        <v>120</v>
      </c>
      <c r="N147" s="1">
        <v>113</v>
      </c>
      <c r="O147" s="1">
        <v>121</v>
      </c>
      <c r="P147" s="1">
        <v>97</v>
      </c>
      <c r="Q147" s="1">
        <v>125</v>
      </c>
      <c r="R147" s="1">
        <v>115</v>
      </c>
      <c r="S147" s="1">
        <v>117</v>
      </c>
      <c r="T147" s="1">
        <v>117</v>
      </c>
      <c r="U147" s="1">
        <v>28</v>
      </c>
      <c r="V147" s="4">
        <f t="shared" si="9"/>
        <v>477</v>
      </c>
      <c r="W147" s="8">
        <f t="shared" si="10"/>
        <v>474</v>
      </c>
      <c r="X147" s="5" t="str">
        <f>Stat[[#This Row],[服装]]&amp;Stat[[#This Row],[名前]]&amp;Stat[[#This Row],[レアリティ]]</f>
        <v>ユニフォーム天童覚ICONIC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116</v>
      </c>
      <c r="C148" s="1" t="s">
        <v>110</v>
      </c>
      <c r="D148" s="1" t="s">
        <v>90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82</v>
      </c>
      <c r="L148" s="1">
        <v>126</v>
      </c>
      <c r="M148" s="1">
        <v>121</v>
      </c>
      <c r="N148" s="1">
        <v>114</v>
      </c>
      <c r="O148" s="1">
        <v>122</v>
      </c>
      <c r="P148" s="1">
        <v>97</v>
      </c>
      <c r="Q148" s="1">
        <v>128</v>
      </c>
      <c r="R148" s="1">
        <v>116</v>
      </c>
      <c r="S148" s="1">
        <v>120</v>
      </c>
      <c r="T148" s="1">
        <v>118</v>
      </c>
      <c r="U148" s="1">
        <v>28</v>
      </c>
      <c r="V148" s="4">
        <f t="shared" si="9"/>
        <v>483</v>
      </c>
      <c r="W148" s="8">
        <f t="shared" si="10"/>
        <v>482</v>
      </c>
      <c r="X148" s="5" t="str">
        <f>Stat[[#This Row],[服装]]&amp;Stat[[#This Row],[名前]]&amp;Stat[[#This Row],[レアリティ]]</f>
        <v>水着天童覚ICONIC</v>
      </c>
      <c r="Y148" s="5" t="s">
        <v>362</v>
      </c>
    </row>
    <row r="149" spans="1:25" ht="15" x14ac:dyDescent="0.35">
      <c r="A149" s="1">
        <f t="shared" si="12"/>
        <v>148</v>
      </c>
      <c r="B149" s="1" t="s">
        <v>895</v>
      </c>
      <c r="C149" s="1" t="s">
        <v>110</v>
      </c>
      <c r="D149" s="1" t="s">
        <v>77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82</v>
      </c>
      <c r="L149" s="1">
        <v>127</v>
      </c>
      <c r="M149" s="1">
        <v>119</v>
      </c>
      <c r="N149" s="1">
        <v>114</v>
      </c>
      <c r="O149" s="1">
        <v>120</v>
      </c>
      <c r="P149" s="1">
        <v>97</v>
      </c>
      <c r="Q149" s="1">
        <v>130</v>
      </c>
      <c r="R149" s="1">
        <v>115</v>
      </c>
      <c r="S149" s="1">
        <v>122</v>
      </c>
      <c r="T149" s="1">
        <v>118</v>
      </c>
      <c r="U149" s="1">
        <v>28</v>
      </c>
      <c r="V149" s="4">
        <f t="shared" si="9"/>
        <v>480</v>
      </c>
      <c r="W149" s="8">
        <f t="shared" si="10"/>
        <v>485</v>
      </c>
      <c r="X149" s="5" t="str">
        <f>Stat[[#This Row],[服装]]&amp;Stat[[#This Row],[名前]]&amp;Stat[[#This Row],[レアリティ]]</f>
        <v>文化祭天童覚ICONIC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111</v>
      </c>
      <c r="D150" s="1" t="s">
        <v>77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123</v>
      </c>
      <c r="M150" s="1">
        <v>120</v>
      </c>
      <c r="N150" s="1">
        <v>118</v>
      </c>
      <c r="O150" s="1">
        <v>123</v>
      </c>
      <c r="P150" s="1">
        <v>101</v>
      </c>
      <c r="Q150" s="1">
        <v>118</v>
      </c>
      <c r="R150" s="1">
        <v>118</v>
      </c>
      <c r="S150" s="1">
        <v>121</v>
      </c>
      <c r="T150" s="1">
        <v>121</v>
      </c>
      <c r="U150" s="1">
        <v>36</v>
      </c>
      <c r="V150" s="4">
        <f t="shared" si="9"/>
        <v>484</v>
      </c>
      <c r="W150" s="8">
        <f t="shared" si="10"/>
        <v>478</v>
      </c>
      <c r="X150" s="5" t="str">
        <f>Stat[[#This Row],[服装]]&amp;Stat[[#This Row],[名前]]&amp;Stat[[#This Row],[レアリティ]]</f>
        <v>ユニフォーム五色工ICONIC</v>
      </c>
      <c r="Y150" s="5" t="s">
        <v>363</v>
      </c>
    </row>
    <row r="151" spans="1:25" ht="15" x14ac:dyDescent="0.35">
      <c r="A151" s="1">
        <f t="shared" si="12"/>
        <v>150</v>
      </c>
      <c r="B151" s="1" t="s">
        <v>702</v>
      </c>
      <c r="C151" s="1" t="s">
        <v>111</v>
      </c>
      <c r="D151" s="1" t="s">
        <v>73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77</v>
      </c>
      <c r="L151" s="1">
        <v>126</v>
      </c>
      <c r="M151" s="1">
        <v>123</v>
      </c>
      <c r="N151" s="1">
        <v>119</v>
      </c>
      <c r="O151" s="1">
        <v>124</v>
      </c>
      <c r="P151" s="1">
        <v>101</v>
      </c>
      <c r="Q151" s="1">
        <v>119</v>
      </c>
      <c r="R151" s="1">
        <v>119</v>
      </c>
      <c r="S151" s="1">
        <v>124</v>
      </c>
      <c r="T151" s="1">
        <v>122</v>
      </c>
      <c r="U151" s="1">
        <v>41</v>
      </c>
      <c r="V151" s="4">
        <f t="shared" si="9"/>
        <v>492</v>
      </c>
      <c r="W151" s="8">
        <f t="shared" si="10"/>
        <v>484</v>
      </c>
      <c r="X151" s="5" t="str">
        <f>Stat[[#This Row],[服装]]&amp;Stat[[#This Row],[名前]]&amp;Stat[[#This Row],[レアリティ]]</f>
        <v>職業体験五色工ICONIC</v>
      </c>
      <c r="Y151" s="5" t="s">
        <v>363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112</v>
      </c>
      <c r="D152" s="1" t="s">
        <v>73</v>
      </c>
      <c r="E152" s="1" t="s">
        <v>74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119</v>
      </c>
      <c r="M152" s="1">
        <v>120</v>
      </c>
      <c r="N152" s="1">
        <v>127</v>
      </c>
      <c r="O152" s="1">
        <v>123</v>
      </c>
      <c r="P152" s="1">
        <v>101</v>
      </c>
      <c r="Q152" s="1">
        <v>117</v>
      </c>
      <c r="R152" s="1">
        <v>117</v>
      </c>
      <c r="S152" s="1">
        <v>116</v>
      </c>
      <c r="T152" s="1">
        <v>118</v>
      </c>
      <c r="U152" s="1">
        <v>36</v>
      </c>
      <c r="V152" s="4">
        <f t="shared" si="9"/>
        <v>489</v>
      </c>
      <c r="W152" s="8">
        <f t="shared" si="10"/>
        <v>468</v>
      </c>
      <c r="X152" s="5" t="str">
        <f>Stat[[#This Row],[服装]]&amp;Stat[[#This Row],[名前]]&amp;Stat[[#This Row],[レアリティ]]</f>
        <v>ユニフォーム白布賢二郎ICONIC</v>
      </c>
      <c r="Y152" s="5" t="s">
        <v>364</v>
      </c>
    </row>
    <row r="153" spans="1:25" ht="15" x14ac:dyDescent="0.35">
      <c r="A153" s="1">
        <f t="shared" si="12"/>
        <v>152</v>
      </c>
      <c r="B153" s="1" t="s">
        <v>391</v>
      </c>
      <c r="C153" s="1" t="s">
        <v>392</v>
      </c>
      <c r="D153" s="1" t="s">
        <v>24</v>
      </c>
      <c r="E153" s="1" t="s">
        <v>31</v>
      </c>
      <c r="F153" s="1" t="s">
        <v>157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76</v>
      </c>
      <c r="L153" s="1">
        <v>120</v>
      </c>
      <c r="M153" s="1">
        <v>123</v>
      </c>
      <c r="N153" s="1">
        <v>130</v>
      </c>
      <c r="O153" s="1">
        <v>126</v>
      </c>
      <c r="P153" s="1">
        <v>101</v>
      </c>
      <c r="Q153" s="1">
        <v>118</v>
      </c>
      <c r="R153" s="1">
        <v>118</v>
      </c>
      <c r="S153" s="1">
        <v>117</v>
      </c>
      <c r="T153" s="1">
        <v>119</v>
      </c>
      <c r="U153" s="1">
        <v>36</v>
      </c>
      <c r="V153" s="4">
        <f t="shared" si="9"/>
        <v>499</v>
      </c>
      <c r="W153" s="8">
        <f t="shared" si="10"/>
        <v>472</v>
      </c>
      <c r="X153" s="5" t="str">
        <f>Stat[[#This Row],[服装]]&amp;Stat[[#This Row],[名前]]&amp;Stat[[#This Row],[レアリティ]]</f>
        <v>探偵白布賢二郎ICONIC</v>
      </c>
      <c r="Y153" s="5" t="s">
        <v>364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113</v>
      </c>
      <c r="D154" s="1" t="s">
        <v>73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123</v>
      </c>
      <c r="M154" s="1">
        <v>120</v>
      </c>
      <c r="N154" s="1">
        <v>118</v>
      </c>
      <c r="O154" s="1">
        <v>123</v>
      </c>
      <c r="P154" s="1">
        <v>97</v>
      </c>
      <c r="Q154" s="1">
        <v>118</v>
      </c>
      <c r="R154" s="1">
        <v>118</v>
      </c>
      <c r="S154" s="1">
        <v>121</v>
      </c>
      <c r="T154" s="1">
        <v>121</v>
      </c>
      <c r="U154" s="1">
        <v>31</v>
      </c>
      <c r="V154" s="4">
        <f t="shared" si="9"/>
        <v>484</v>
      </c>
      <c r="W154" s="8">
        <f t="shared" si="10"/>
        <v>478</v>
      </c>
      <c r="X154" s="5" t="str">
        <f>Stat[[#This Row],[服装]]&amp;Stat[[#This Row],[名前]]&amp;Stat[[#This Row],[レアリティ]]</f>
        <v>ユニフォーム大平獅音ICONIC</v>
      </c>
      <c r="Y154" s="5" t="s">
        <v>365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114</v>
      </c>
      <c r="D155" s="1" t="s">
        <v>73</v>
      </c>
      <c r="E155" s="1" t="s">
        <v>82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123</v>
      </c>
      <c r="M155" s="1">
        <v>120</v>
      </c>
      <c r="N155" s="1">
        <v>113</v>
      </c>
      <c r="O155" s="1">
        <v>121</v>
      </c>
      <c r="P155" s="1">
        <v>101</v>
      </c>
      <c r="Q155" s="1">
        <v>121</v>
      </c>
      <c r="R155" s="1">
        <v>115</v>
      </c>
      <c r="S155" s="1">
        <v>117</v>
      </c>
      <c r="T155" s="1">
        <v>117</v>
      </c>
      <c r="U155" s="1">
        <v>31</v>
      </c>
      <c r="V155" s="4">
        <f t="shared" si="9"/>
        <v>477</v>
      </c>
      <c r="W155" s="8">
        <f t="shared" si="10"/>
        <v>470</v>
      </c>
      <c r="X155" s="5" t="str">
        <f>Stat[[#This Row],[服装]]&amp;Stat[[#This Row],[名前]]&amp;Stat[[#This Row],[レアリティ]]</f>
        <v>ユニフォーム川西太一ICONIC</v>
      </c>
      <c r="Y155" s="5" t="s">
        <v>366</v>
      </c>
    </row>
    <row r="156" spans="1:25" ht="15" x14ac:dyDescent="0.35">
      <c r="A156" s="1">
        <f>ROW()-1</f>
        <v>155</v>
      </c>
      <c r="B156" s="1" t="s">
        <v>1122</v>
      </c>
      <c r="C156" s="1" t="s">
        <v>114</v>
      </c>
      <c r="D156" s="1" t="s">
        <v>90</v>
      </c>
      <c r="E156" s="1" t="s">
        <v>82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126</v>
      </c>
      <c r="M156" s="1">
        <v>121</v>
      </c>
      <c r="N156" s="1">
        <v>114</v>
      </c>
      <c r="O156" s="1">
        <v>122</v>
      </c>
      <c r="P156" s="1">
        <v>101</v>
      </c>
      <c r="Q156" s="1">
        <v>124</v>
      </c>
      <c r="R156" s="1">
        <v>116</v>
      </c>
      <c r="S156" s="1">
        <v>120</v>
      </c>
      <c r="T156" s="1">
        <v>118</v>
      </c>
      <c r="U156" s="1">
        <v>31</v>
      </c>
      <c r="V156" s="4">
        <f>SUM(L156:O156)</f>
        <v>483</v>
      </c>
      <c r="W156" s="8">
        <f>SUM(Q156:T156)</f>
        <v>478</v>
      </c>
      <c r="X156" s="5" t="str">
        <f>Stat[[#This Row],[服装]]&amp;Stat[[#This Row],[名前]]&amp;Stat[[#This Row],[レアリティ]]</f>
        <v>路地裏川西太一ICONIC</v>
      </c>
      <c r="Y156" s="5" t="s">
        <v>366</v>
      </c>
    </row>
    <row r="157" spans="1:25" ht="15" x14ac:dyDescent="0.35">
      <c r="A157" s="1">
        <f t="shared" si="12"/>
        <v>156</v>
      </c>
      <c r="B157" s="1" t="s">
        <v>108</v>
      </c>
      <c r="C157" s="1" t="s">
        <v>662</v>
      </c>
      <c r="D157" s="1" t="s">
        <v>73</v>
      </c>
      <c r="E157" s="1" t="s">
        <v>74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74</v>
      </c>
      <c r="L157" s="1">
        <v>117</v>
      </c>
      <c r="M157" s="1">
        <v>120</v>
      </c>
      <c r="N157" s="1">
        <v>121</v>
      </c>
      <c r="O157" s="1">
        <v>121</v>
      </c>
      <c r="P157" s="1">
        <v>101</v>
      </c>
      <c r="Q157" s="1">
        <v>117</v>
      </c>
      <c r="R157" s="1">
        <v>117</v>
      </c>
      <c r="S157" s="1">
        <v>117</v>
      </c>
      <c r="T157" s="1">
        <v>118</v>
      </c>
      <c r="U157" s="1">
        <v>36</v>
      </c>
      <c r="V157" s="4">
        <f t="shared" si="9"/>
        <v>479</v>
      </c>
      <c r="W157" s="8">
        <f t="shared" si="10"/>
        <v>469</v>
      </c>
      <c r="X157" s="5" t="str">
        <f>Stat[[#This Row],[服装]]&amp;Stat[[#This Row],[名前]]&amp;Stat[[#This Row],[レアリティ]]</f>
        <v>ユニフォーム瀬見英太ICONIC</v>
      </c>
      <c r="Y157" s="5" t="s">
        <v>367</v>
      </c>
    </row>
    <row r="158" spans="1:25" ht="15" x14ac:dyDescent="0.35">
      <c r="A158" s="1">
        <f>ROW()-1</f>
        <v>157</v>
      </c>
      <c r="B158" s="1" t="s">
        <v>988</v>
      </c>
      <c r="C158" s="1" t="s">
        <v>662</v>
      </c>
      <c r="D158" s="1" t="s">
        <v>90</v>
      </c>
      <c r="E158" s="1" t="s">
        <v>74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118</v>
      </c>
      <c r="M158" s="1">
        <v>123</v>
      </c>
      <c r="N158" s="1">
        <v>124</v>
      </c>
      <c r="O158" s="1">
        <v>124</v>
      </c>
      <c r="P158" s="1">
        <v>101</v>
      </c>
      <c r="Q158" s="1">
        <v>118</v>
      </c>
      <c r="R158" s="1">
        <v>118</v>
      </c>
      <c r="S158" s="1">
        <v>118</v>
      </c>
      <c r="T158" s="1">
        <v>119</v>
      </c>
      <c r="U158" s="1">
        <v>36</v>
      </c>
      <c r="V158" s="4">
        <f>SUM(L158:O158)</f>
        <v>489</v>
      </c>
      <c r="W158" s="8">
        <f>SUM(Q158:T158)</f>
        <v>473</v>
      </c>
      <c r="X158" s="5" t="str">
        <f>Stat[[#This Row],[服装]]&amp;Stat[[#This Row],[名前]]&amp;Stat[[#This Row],[レアリティ]]</f>
        <v>雪遊び瀬見英太ICONIC</v>
      </c>
      <c r="Y158" s="5" t="s">
        <v>367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115</v>
      </c>
      <c r="D159" s="1" t="s">
        <v>73</v>
      </c>
      <c r="E159" s="1" t="s">
        <v>80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85</v>
      </c>
      <c r="L159" s="1">
        <v>112</v>
      </c>
      <c r="M159" s="1">
        <v>110</v>
      </c>
      <c r="N159" s="1">
        <v>114</v>
      </c>
      <c r="O159" s="1">
        <v>120</v>
      </c>
      <c r="P159" s="1">
        <v>101</v>
      </c>
      <c r="Q159" s="1">
        <v>110</v>
      </c>
      <c r="R159" s="1">
        <v>121</v>
      </c>
      <c r="S159" s="1">
        <v>119</v>
      </c>
      <c r="T159" s="1">
        <v>120</v>
      </c>
      <c r="U159" s="1">
        <v>41</v>
      </c>
      <c r="V159" s="4">
        <f t="shared" si="9"/>
        <v>456</v>
      </c>
      <c r="W159" s="8">
        <f t="shared" si="10"/>
        <v>470</v>
      </c>
      <c r="X159" s="5" t="str">
        <f>Stat[[#This Row],[服装]]&amp;Stat[[#This Row],[名前]]&amp;Stat[[#This Row],[レアリティ]]</f>
        <v>ユニフォーム山形隼人ICONIC</v>
      </c>
      <c r="Y159" s="5" t="s">
        <v>368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186</v>
      </c>
      <c r="D160" s="1" t="s">
        <v>77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120</v>
      </c>
      <c r="M160" s="1">
        <v>129</v>
      </c>
      <c r="N160" s="1">
        <v>130</v>
      </c>
      <c r="O160" s="1">
        <v>127</v>
      </c>
      <c r="P160" s="1">
        <v>101</v>
      </c>
      <c r="Q160" s="1">
        <v>114</v>
      </c>
      <c r="R160" s="1">
        <v>119</v>
      </c>
      <c r="S160" s="1">
        <v>114</v>
      </c>
      <c r="T160" s="1">
        <v>118</v>
      </c>
      <c r="U160" s="1">
        <v>36</v>
      </c>
      <c r="V160" s="4">
        <f t="shared" si="9"/>
        <v>506</v>
      </c>
      <c r="W160" s="8">
        <f t="shared" si="10"/>
        <v>465</v>
      </c>
      <c r="X160" s="5" t="str">
        <f>Stat[[#This Row],[服装]]&amp;Stat[[#This Row],[名前]]&amp;Stat[[#This Row],[レアリティ]]</f>
        <v>ユニフォーム宮侑ICONIC</v>
      </c>
      <c r="Y160" s="5" t="s">
        <v>369</v>
      </c>
    </row>
    <row r="161" spans="1:25" ht="15" x14ac:dyDescent="0.35">
      <c r="A161" s="1">
        <f t="shared" si="12"/>
        <v>160</v>
      </c>
      <c r="B161" s="1" t="s">
        <v>895</v>
      </c>
      <c r="C161" s="1" t="s">
        <v>186</v>
      </c>
      <c r="D161" s="1" t="s">
        <v>73</v>
      </c>
      <c r="E161" s="1" t="s">
        <v>74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121</v>
      </c>
      <c r="M161" s="1">
        <v>132</v>
      </c>
      <c r="N161" s="1">
        <v>133</v>
      </c>
      <c r="O161" s="1">
        <v>130</v>
      </c>
      <c r="P161" s="1">
        <v>101</v>
      </c>
      <c r="Q161" s="1">
        <v>115</v>
      </c>
      <c r="R161" s="1">
        <v>120</v>
      </c>
      <c r="S161" s="1">
        <v>115</v>
      </c>
      <c r="T161" s="1">
        <v>119</v>
      </c>
      <c r="U161" s="1">
        <v>36</v>
      </c>
      <c r="V161" s="4">
        <f t="shared" ref="V161:V213" si="13">SUM(L161:O161)</f>
        <v>516</v>
      </c>
      <c r="W161" s="8">
        <f t="shared" ref="W161:W213" si="14">SUM(Q161:T161)</f>
        <v>469</v>
      </c>
      <c r="X161" s="5" t="str">
        <f>Stat[[#This Row],[服装]]&amp;Stat[[#This Row],[名前]]&amp;Stat[[#This Row],[レアリティ]]</f>
        <v>文化祭宮侑ICONIC</v>
      </c>
      <c r="Y161" s="5" t="s">
        <v>369</v>
      </c>
    </row>
    <row r="162" spans="1:25" ht="15" x14ac:dyDescent="0.35">
      <c r="A162" s="1">
        <f>ROW()-1</f>
        <v>161</v>
      </c>
      <c r="B162" s="1" t="s">
        <v>1071</v>
      </c>
      <c r="C162" s="1" t="s">
        <v>186</v>
      </c>
      <c r="D162" s="1" t="s">
        <v>90</v>
      </c>
      <c r="E162" s="1" t="s">
        <v>74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119</v>
      </c>
      <c r="M162" s="1">
        <v>134</v>
      </c>
      <c r="N162" s="1">
        <v>132</v>
      </c>
      <c r="O162" s="1">
        <v>131</v>
      </c>
      <c r="P162" s="1">
        <v>101</v>
      </c>
      <c r="Q162" s="1">
        <v>113</v>
      </c>
      <c r="R162" s="1">
        <v>122</v>
      </c>
      <c r="S162" s="1">
        <v>114</v>
      </c>
      <c r="T162" s="1">
        <v>120</v>
      </c>
      <c r="U162" s="1">
        <v>36</v>
      </c>
      <c r="V162" s="4">
        <f>SUM(L162:O162)</f>
        <v>516</v>
      </c>
      <c r="W162" s="8">
        <f>SUM(Q162:T162)</f>
        <v>469</v>
      </c>
      <c r="X162" s="5" t="str">
        <f>Stat[[#This Row],[服装]]&amp;Stat[[#This Row],[名前]]&amp;Stat[[#This Row],[レアリティ]]</f>
        <v>RPG宮侑ICONIC</v>
      </c>
      <c r="Y162" s="5" t="s">
        <v>369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187</v>
      </c>
      <c r="D163" s="1" t="s">
        <v>90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82</v>
      </c>
      <c r="L163" s="1">
        <v>127</v>
      </c>
      <c r="M163" s="1">
        <v>120</v>
      </c>
      <c r="N163" s="1">
        <v>116</v>
      </c>
      <c r="O163" s="1">
        <v>121</v>
      </c>
      <c r="P163" s="1">
        <v>101</v>
      </c>
      <c r="Q163" s="1">
        <v>123</v>
      </c>
      <c r="R163" s="1">
        <v>119</v>
      </c>
      <c r="S163" s="1">
        <v>122</v>
      </c>
      <c r="T163" s="1">
        <v>119</v>
      </c>
      <c r="U163" s="1">
        <v>31</v>
      </c>
      <c r="V163" s="4">
        <f t="shared" si="13"/>
        <v>484</v>
      </c>
      <c r="W163" s="8">
        <f t="shared" si="14"/>
        <v>483</v>
      </c>
      <c r="X163" s="5" t="str">
        <f>Stat[[#This Row],[服装]]&amp;Stat[[#This Row],[名前]]&amp;Stat[[#This Row],[レアリティ]]</f>
        <v>ユニフォーム宮治ICONIC</v>
      </c>
      <c r="Y163" s="5" t="s">
        <v>370</v>
      </c>
    </row>
    <row r="164" spans="1:25" ht="15" x14ac:dyDescent="0.35">
      <c r="A164" s="1">
        <f>ROW()-1</f>
        <v>163</v>
      </c>
      <c r="B164" s="1" t="s">
        <v>1071</v>
      </c>
      <c r="C164" s="1" t="s">
        <v>187</v>
      </c>
      <c r="D164" s="1" t="s">
        <v>90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130</v>
      </c>
      <c r="M164" s="1">
        <v>123</v>
      </c>
      <c r="N164" s="1">
        <v>117</v>
      </c>
      <c r="O164" s="1">
        <v>122</v>
      </c>
      <c r="P164" s="1">
        <v>101</v>
      </c>
      <c r="Q164" s="1">
        <v>124</v>
      </c>
      <c r="R164" s="1">
        <v>120</v>
      </c>
      <c r="S164" s="1">
        <v>125</v>
      </c>
      <c r="T164" s="1">
        <v>120</v>
      </c>
      <c r="U164" s="1">
        <v>31</v>
      </c>
      <c r="V164" s="4">
        <f>SUM(L164:O164)</f>
        <v>492</v>
      </c>
      <c r="W164" s="8">
        <f>SUM(Q164:T164)</f>
        <v>489</v>
      </c>
      <c r="X164" s="5" t="str">
        <f>Stat[[#This Row],[服装]]&amp;Stat[[#This Row],[名前]]&amp;Stat[[#This Row],[レアリティ]]</f>
        <v>RPG宮治ICONIC</v>
      </c>
      <c r="Y164" s="5" t="s">
        <v>370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188</v>
      </c>
      <c r="D165" s="1" t="s">
        <v>77</v>
      </c>
      <c r="E165" s="1" t="s">
        <v>82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80</v>
      </c>
      <c r="L165" s="1">
        <v>126</v>
      </c>
      <c r="M165" s="1">
        <v>118</v>
      </c>
      <c r="N165" s="1">
        <v>112</v>
      </c>
      <c r="O165" s="1">
        <v>121</v>
      </c>
      <c r="P165" s="1">
        <v>101</v>
      </c>
      <c r="Q165" s="1">
        <v>128</v>
      </c>
      <c r="R165" s="1">
        <v>114</v>
      </c>
      <c r="S165" s="1">
        <v>117</v>
      </c>
      <c r="T165" s="1">
        <v>117</v>
      </c>
      <c r="U165" s="1">
        <v>36</v>
      </c>
      <c r="V165" s="4">
        <f t="shared" si="13"/>
        <v>477</v>
      </c>
      <c r="W165" s="8">
        <f t="shared" si="14"/>
        <v>476</v>
      </c>
      <c r="X165" s="5" t="str">
        <f>Stat[[#This Row],[服装]]&amp;Stat[[#This Row],[名前]]&amp;Stat[[#This Row],[レアリティ]]</f>
        <v>ユニフォーム角名倫太郎ICONIC</v>
      </c>
      <c r="Y165" s="5" t="s">
        <v>371</v>
      </c>
    </row>
    <row r="166" spans="1:25" ht="15" x14ac:dyDescent="0.35">
      <c r="A166" s="1">
        <f>ROW()-1</f>
        <v>165</v>
      </c>
      <c r="B166" s="1" t="s">
        <v>1049</v>
      </c>
      <c r="C166" s="1" t="s">
        <v>188</v>
      </c>
      <c r="D166" s="1" t="s">
        <v>73</v>
      </c>
      <c r="E166" s="1" t="s">
        <v>82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81</v>
      </c>
      <c r="L166" s="1">
        <v>129</v>
      </c>
      <c r="M166" s="1">
        <v>119</v>
      </c>
      <c r="N166" s="1">
        <v>113</v>
      </c>
      <c r="O166" s="1">
        <v>122</v>
      </c>
      <c r="P166" s="1">
        <v>101</v>
      </c>
      <c r="Q166" s="1">
        <v>131</v>
      </c>
      <c r="R166" s="1">
        <v>115</v>
      </c>
      <c r="S166" s="1">
        <v>120</v>
      </c>
      <c r="T166" s="1">
        <v>118</v>
      </c>
      <c r="U166" s="1">
        <v>36</v>
      </c>
      <c r="V166" s="4">
        <f>SUM(L166:O166)</f>
        <v>483</v>
      </c>
      <c r="W166" s="8">
        <f>SUM(Q166:T166)</f>
        <v>484</v>
      </c>
      <c r="X166" s="5" t="str">
        <f>Stat[[#This Row],[服装]]&amp;Stat[[#This Row],[名前]]&amp;Stat[[#This Row],[レアリティ]]</f>
        <v>サバゲ角名倫太郎ICONIC</v>
      </c>
      <c r="Y166" s="5" t="s">
        <v>371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189</v>
      </c>
      <c r="D167" s="1" t="s">
        <v>77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125</v>
      </c>
      <c r="M167" s="1">
        <v>119</v>
      </c>
      <c r="N167" s="1">
        <v>115</v>
      </c>
      <c r="O167" s="1">
        <v>119</v>
      </c>
      <c r="P167" s="1">
        <v>97</v>
      </c>
      <c r="Q167" s="1">
        <v>118</v>
      </c>
      <c r="R167" s="1">
        <v>121</v>
      </c>
      <c r="S167" s="1">
        <v>120</v>
      </c>
      <c r="T167" s="1">
        <v>121</v>
      </c>
      <c r="U167" s="1">
        <v>36</v>
      </c>
      <c r="V167" s="4">
        <f t="shared" si="13"/>
        <v>478</v>
      </c>
      <c r="W167" s="8">
        <f t="shared" si="14"/>
        <v>480</v>
      </c>
      <c r="X167" s="5" t="str">
        <f>Stat[[#This Row],[服装]]&amp;Stat[[#This Row],[名前]]&amp;Stat[[#This Row],[レアリティ]]</f>
        <v>ユニフォーム北信介ICONIC</v>
      </c>
      <c r="Y167" s="5" t="s">
        <v>372</v>
      </c>
    </row>
    <row r="168" spans="1:25" ht="15" x14ac:dyDescent="0.35">
      <c r="A168" s="1">
        <f>ROW()-1</f>
        <v>167</v>
      </c>
      <c r="B168" s="1" t="s">
        <v>915</v>
      </c>
      <c r="C168" s="1" t="s">
        <v>189</v>
      </c>
      <c r="D168" s="1" t="s">
        <v>73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128</v>
      </c>
      <c r="M168" s="1">
        <v>122</v>
      </c>
      <c r="N168" s="1">
        <v>116</v>
      </c>
      <c r="O168" s="1">
        <v>120</v>
      </c>
      <c r="P168" s="1">
        <v>97</v>
      </c>
      <c r="Q168" s="1">
        <v>119</v>
      </c>
      <c r="R168" s="1">
        <v>122</v>
      </c>
      <c r="S168" s="1">
        <v>123</v>
      </c>
      <c r="T168" s="1">
        <v>122</v>
      </c>
      <c r="U168" s="1">
        <v>36</v>
      </c>
      <c r="V168" s="4">
        <f t="shared" si="13"/>
        <v>486</v>
      </c>
      <c r="W168" s="8">
        <f t="shared" si="14"/>
        <v>486</v>
      </c>
      <c r="X168" s="5" t="str">
        <f>Stat[[#This Row],[服装]]&amp;Stat[[#This Row],[名前]]&amp;Stat[[#This Row],[レアリティ]]</f>
        <v>Xmas北信介ICONIC</v>
      </c>
      <c r="Y168" s="5" t="s">
        <v>372</v>
      </c>
    </row>
    <row r="169" spans="1:25" ht="15" customHeight="1" x14ac:dyDescent="0.35">
      <c r="A169" s="1">
        <f t="shared" si="12"/>
        <v>168</v>
      </c>
      <c r="B169" s="1" t="s">
        <v>108</v>
      </c>
      <c r="C169" s="1" t="s">
        <v>665</v>
      </c>
      <c r="D169" s="1" t="s">
        <v>77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127</v>
      </c>
      <c r="M169" s="1">
        <v>122</v>
      </c>
      <c r="N169" s="1">
        <v>113</v>
      </c>
      <c r="O169" s="1">
        <v>117</v>
      </c>
      <c r="P169" s="1">
        <v>101</v>
      </c>
      <c r="Q169" s="1">
        <v>117</v>
      </c>
      <c r="R169" s="1">
        <v>115</v>
      </c>
      <c r="S169" s="1">
        <v>120</v>
      </c>
      <c r="T169" s="1">
        <v>115</v>
      </c>
      <c r="U169" s="1">
        <v>31</v>
      </c>
      <c r="V169" s="4">
        <f t="shared" si="13"/>
        <v>479</v>
      </c>
      <c r="W169" s="8">
        <f t="shared" si="14"/>
        <v>467</v>
      </c>
      <c r="X169" s="5" t="str">
        <f>Stat[[#This Row],[服装]]&amp;Stat[[#This Row],[名前]]&amp;Stat[[#This Row],[レアリティ]]</f>
        <v>ユニフォーム尾白アランICONIC</v>
      </c>
      <c r="Y169" s="5" t="s">
        <v>666</v>
      </c>
    </row>
    <row r="170" spans="1:25" ht="15" customHeight="1" x14ac:dyDescent="0.35">
      <c r="A170" s="1">
        <f>ROW()-1</f>
        <v>169</v>
      </c>
      <c r="B170" s="1" t="s">
        <v>959</v>
      </c>
      <c r="C170" s="1" t="s">
        <v>665</v>
      </c>
      <c r="D170" s="1" t="s">
        <v>979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78</v>
      </c>
      <c r="L170" s="1">
        <v>130</v>
      </c>
      <c r="M170" s="1">
        <v>125</v>
      </c>
      <c r="N170" s="1">
        <v>114</v>
      </c>
      <c r="O170" s="1">
        <v>118</v>
      </c>
      <c r="P170" s="1">
        <v>101</v>
      </c>
      <c r="Q170" s="1">
        <v>118</v>
      </c>
      <c r="R170" s="1">
        <v>116</v>
      </c>
      <c r="S170" s="1">
        <v>123</v>
      </c>
      <c r="T170" s="1">
        <v>116</v>
      </c>
      <c r="U170" s="1">
        <v>31</v>
      </c>
      <c r="V170" s="4">
        <f>SUM(L170:O170)</f>
        <v>487</v>
      </c>
      <c r="W170" s="8">
        <f>SUM(Q170:T170)</f>
        <v>473</v>
      </c>
      <c r="X170" s="5" t="str">
        <f>Stat[[#This Row],[服装]]&amp;Stat[[#This Row],[名前]]&amp;Stat[[#This Row],[レアリティ]]</f>
        <v>雪遊び尾白アランICONIC</v>
      </c>
      <c r="Y170" s="5" t="s">
        <v>666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667</v>
      </c>
      <c r="D171" s="1" t="s">
        <v>77</v>
      </c>
      <c r="E171" s="1" t="s">
        <v>80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86</v>
      </c>
      <c r="L171" s="1">
        <v>116</v>
      </c>
      <c r="M171" s="1">
        <v>110</v>
      </c>
      <c r="N171" s="1">
        <v>116</v>
      </c>
      <c r="O171" s="1">
        <v>122</v>
      </c>
      <c r="P171" s="1">
        <v>101</v>
      </c>
      <c r="Q171" s="1">
        <v>110</v>
      </c>
      <c r="R171" s="1">
        <v>124</v>
      </c>
      <c r="S171" s="1">
        <v>118</v>
      </c>
      <c r="T171" s="1">
        <v>122</v>
      </c>
      <c r="U171" s="1">
        <v>41</v>
      </c>
      <c r="V171" s="4">
        <f t="shared" si="13"/>
        <v>464</v>
      </c>
      <c r="W171" s="8">
        <f t="shared" si="14"/>
        <v>474</v>
      </c>
      <c r="X171" s="5" t="str">
        <f>Stat[[#This Row],[服装]]&amp;Stat[[#This Row],[名前]]&amp;Stat[[#This Row],[レアリティ]]</f>
        <v>ユニフォーム赤木路成ICONIC</v>
      </c>
      <c r="Y171" s="5" t="s">
        <v>668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669</v>
      </c>
      <c r="D172" s="1" t="s">
        <v>77</v>
      </c>
      <c r="E172" s="1" t="s">
        <v>82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118</v>
      </c>
      <c r="M172" s="1">
        <v>114</v>
      </c>
      <c r="N172" s="1">
        <v>114</v>
      </c>
      <c r="O172" s="1">
        <v>120</v>
      </c>
      <c r="P172" s="1">
        <v>97</v>
      </c>
      <c r="Q172" s="1">
        <v>129</v>
      </c>
      <c r="R172" s="1">
        <v>115</v>
      </c>
      <c r="S172" s="1">
        <v>115</v>
      </c>
      <c r="T172" s="1">
        <v>117</v>
      </c>
      <c r="U172" s="1">
        <v>31</v>
      </c>
      <c r="V172" s="4">
        <f t="shared" si="13"/>
        <v>466</v>
      </c>
      <c r="W172" s="8">
        <f t="shared" si="14"/>
        <v>476</v>
      </c>
      <c r="X172" s="5" t="str">
        <f>Stat[[#This Row],[服装]]&amp;Stat[[#This Row],[名前]]&amp;Stat[[#This Row],[レアリティ]]</f>
        <v>ユニフォーム大耳練ICONIC</v>
      </c>
      <c r="Y172" s="5" t="s">
        <v>670</v>
      </c>
    </row>
    <row r="173" spans="1:25" ht="15" customHeight="1" x14ac:dyDescent="0.35">
      <c r="A173" s="1">
        <f t="shared" si="12"/>
        <v>172</v>
      </c>
      <c r="B173" s="1" t="s">
        <v>108</v>
      </c>
      <c r="C173" s="1" t="s">
        <v>671</v>
      </c>
      <c r="D173" s="1" t="s">
        <v>77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74</v>
      </c>
      <c r="L173" s="1">
        <v>121</v>
      </c>
      <c r="M173" s="1">
        <v>126</v>
      </c>
      <c r="N173" s="1">
        <v>112</v>
      </c>
      <c r="O173" s="1">
        <v>115</v>
      </c>
      <c r="P173" s="1">
        <v>97</v>
      </c>
      <c r="Q173" s="1">
        <v>115</v>
      </c>
      <c r="R173" s="1">
        <v>115</v>
      </c>
      <c r="S173" s="1">
        <v>118</v>
      </c>
      <c r="T173" s="1">
        <v>117</v>
      </c>
      <c r="U173" s="1">
        <v>31</v>
      </c>
      <c r="V173" s="4">
        <f t="shared" si="13"/>
        <v>474</v>
      </c>
      <c r="W173" s="8">
        <f t="shared" si="14"/>
        <v>465</v>
      </c>
      <c r="X173" s="5" t="str">
        <f>Stat[[#This Row],[服装]]&amp;Stat[[#This Row],[名前]]&amp;Stat[[#This Row],[レアリティ]]</f>
        <v>ユニフォーム理石平介ICONIC</v>
      </c>
      <c r="Y173" s="5" t="s">
        <v>672</v>
      </c>
    </row>
    <row r="174" spans="1:25" ht="15" customHeight="1" x14ac:dyDescent="0.35">
      <c r="A174" s="1">
        <f>ROW()-1</f>
        <v>173</v>
      </c>
      <c r="B174" s="1" t="s">
        <v>108</v>
      </c>
      <c r="C174" s="1" t="s">
        <v>1178</v>
      </c>
      <c r="D174" s="1" t="s">
        <v>77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74</v>
      </c>
      <c r="L174" s="1">
        <v>122</v>
      </c>
      <c r="M174" s="1">
        <v>117</v>
      </c>
      <c r="N174" s="1">
        <v>113</v>
      </c>
      <c r="O174" s="1">
        <v>118</v>
      </c>
      <c r="P174" s="1">
        <v>101</v>
      </c>
      <c r="Q174" s="1">
        <v>117</v>
      </c>
      <c r="R174" s="1">
        <v>117</v>
      </c>
      <c r="S174" s="1">
        <v>117</v>
      </c>
      <c r="T174" s="1">
        <v>118</v>
      </c>
      <c r="U174" s="1">
        <v>36</v>
      </c>
      <c r="V174" s="4">
        <f>SUM(L174:O174)</f>
        <v>470</v>
      </c>
      <c r="W174" s="8">
        <f>SUM(Q174:T174)</f>
        <v>469</v>
      </c>
      <c r="X174" s="5" t="str">
        <f>Stat[[#This Row],[服装]]&amp;Stat[[#This Row],[名前]]&amp;Stat[[#This Row],[レアリティ]]</f>
        <v>ユニフォーム銀島結ICONIC</v>
      </c>
      <c r="Y174" s="5" t="s">
        <v>1180</v>
      </c>
    </row>
    <row r="175" spans="1:25" ht="15" x14ac:dyDescent="0.35">
      <c r="A175" s="1">
        <f t="shared" ref="A175:A213" si="15">ROW()-1</f>
        <v>174</v>
      </c>
      <c r="B175" s="1" t="s">
        <v>108</v>
      </c>
      <c r="C175" s="1" t="s">
        <v>122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82</v>
      </c>
      <c r="L175" s="1">
        <v>128</v>
      </c>
      <c r="M175" s="1">
        <v>127</v>
      </c>
      <c r="N175" s="1">
        <v>114</v>
      </c>
      <c r="O175" s="1">
        <v>119</v>
      </c>
      <c r="P175" s="1">
        <v>101</v>
      </c>
      <c r="Q175" s="1">
        <v>118</v>
      </c>
      <c r="R175" s="1">
        <v>121</v>
      </c>
      <c r="S175" s="1">
        <v>121</v>
      </c>
      <c r="T175" s="1">
        <v>121</v>
      </c>
      <c r="U175" s="1">
        <v>26</v>
      </c>
      <c r="V175" s="4">
        <f t="shared" si="13"/>
        <v>488</v>
      </c>
      <c r="W175" s="8">
        <f t="shared" si="14"/>
        <v>481</v>
      </c>
      <c r="X175" s="5" t="str">
        <f>Stat[[#This Row],[服装]]&amp;Stat[[#This Row],[名前]]&amp;Stat[[#This Row],[レアリティ]]</f>
        <v>ユニフォーム木兎光太郎ICONIC</v>
      </c>
      <c r="Y175" s="5" t="s">
        <v>373</v>
      </c>
    </row>
    <row r="176" spans="1:25" ht="15" x14ac:dyDescent="0.35">
      <c r="A176" s="1">
        <f t="shared" si="15"/>
        <v>175</v>
      </c>
      <c r="B176" s="1" t="s">
        <v>150</v>
      </c>
      <c r="C176" s="1" t="s">
        <v>122</v>
      </c>
      <c r="D176" s="1" t="s">
        <v>77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131</v>
      </c>
      <c r="M176" s="1">
        <v>130</v>
      </c>
      <c r="N176" s="1">
        <v>115</v>
      </c>
      <c r="O176" s="1">
        <v>120</v>
      </c>
      <c r="P176" s="1">
        <v>101</v>
      </c>
      <c r="Q176" s="1">
        <v>119</v>
      </c>
      <c r="R176" s="1">
        <v>122</v>
      </c>
      <c r="S176" s="1">
        <v>124</v>
      </c>
      <c r="T176" s="1">
        <v>122</v>
      </c>
      <c r="U176" s="1">
        <v>26</v>
      </c>
      <c r="V176" s="4">
        <f t="shared" si="13"/>
        <v>496</v>
      </c>
      <c r="W176" s="8">
        <f t="shared" si="14"/>
        <v>487</v>
      </c>
      <c r="X176" s="5" t="str">
        <f>Stat[[#This Row],[服装]]&amp;Stat[[#This Row],[名前]]&amp;Stat[[#This Row],[レアリティ]]</f>
        <v>夏祭り木兎光太郎ICONIC</v>
      </c>
      <c r="Y176" s="5" t="s">
        <v>373</v>
      </c>
    </row>
    <row r="177" spans="1:25" ht="15" x14ac:dyDescent="0.35">
      <c r="A177" s="1">
        <f>ROW()-1</f>
        <v>176</v>
      </c>
      <c r="B177" s="1" t="s">
        <v>915</v>
      </c>
      <c r="C177" s="1" t="s">
        <v>122</v>
      </c>
      <c r="D177" s="1" t="s">
        <v>73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133</v>
      </c>
      <c r="M177" s="1">
        <v>128</v>
      </c>
      <c r="N177" s="1">
        <v>115</v>
      </c>
      <c r="O177" s="1">
        <v>118</v>
      </c>
      <c r="P177" s="1">
        <v>101</v>
      </c>
      <c r="Q177" s="1">
        <v>121</v>
      </c>
      <c r="R177" s="1">
        <v>122</v>
      </c>
      <c r="S177" s="1">
        <v>126</v>
      </c>
      <c r="T177" s="1">
        <v>121</v>
      </c>
      <c r="U177" s="1">
        <v>26</v>
      </c>
      <c r="V177" s="4">
        <f t="shared" si="13"/>
        <v>494</v>
      </c>
      <c r="W177" s="8">
        <f t="shared" si="14"/>
        <v>490</v>
      </c>
      <c r="X177" s="5" t="str">
        <f>Stat[[#This Row],[服装]]&amp;Stat[[#This Row],[名前]]&amp;Stat[[#This Row],[レアリティ]]</f>
        <v>Xmas木兎光太郎ICONIC</v>
      </c>
      <c r="Y177" s="5" t="s">
        <v>373</v>
      </c>
    </row>
    <row r="178" spans="1:25" ht="15" x14ac:dyDescent="0.35">
      <c r="A178" s="1">
        <f>ROW()-1</f>
        <v>177</v>
      </c>
      <c r="B178" s="1" t="s">
        <v>149</v>
      </c>
      <c r="C178" s="1" t="s">
        <v>122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134</v>
      </c>
      <c r="M178" s="1">
        <v>127</v>
      </c>
      <c r="N178" s="1">
        <v>115</v>
      </c>
      <c r="O178" s="1">
        <v>117</v>
      </c>
      <c r="P178" s="1">
        <v>101</v>
      </c>
      <c r="Q178" s="1">
        <v>119</v>
      </c>
      <c r="R178" s="1">
        <v>125</v>
      </c>
      <c r="S178" s="1">
        <v>124</v>
      </c>
      <c r="T178" s="1">
        <v>124</v>
      </c>
      <c r="U178" s="1">
        <v>26</v>
      </c>
      <c r="V178" s="4">
        <f>SUM(L178:O178)</f>
        <v>493</v>
      </c>
      <c r="W178" s="8">
        <f>SUM(Q178:T178)</f>
        <v>492</v>
      </c>
      <c r="X178" s="5" t="str">
        <f>Stat[[#This Row],[服装]]&amp;Stat[[#This Row],[名前]]&amp;Stat[[#This Row],[レアリティ]]</f>
        <v>制服木兎光太郎ICONIC</v>
      </c>
      <c r="Y178" s="5" t="s">
        <v>373</v>
      </c>
    </row>
    <row r="179" spans="1:25" ht="15" x14ac:dyDescent="0.35">
      <c r="A179" s="1">
        <f t="shared" si="15"/>
        <v>178</v>
      </c>
      <c r="B179" s="1" t="s">
        <v>108</v>
      </c>
      <c r="C179" s="1" t="s">
        <v>123</v>
      </c>
      <c r="D179" s="1" t="s">
        <v>90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123</v>
      </c>
      <c r="M179" s="1">
        <v>117</v>
      </c>
      <c r="N179" s="1">
        <v>120</v>
      </c>
      <c r="O179" s="1">
        <v>123</v>
      </c>
      <c r="P179" s="1">
        <v>101</v>
      </c>
      <c r="Q179" s="1">
        <v>116</v>
      </c>
      <c r="R179" s="1">
        <v>121</v>
      </c>
      <c r="S179" s="1">
        <v>121</v>
      </c>
      <c r="T179" s="1">
        <v>121</v>
      </c>
      <c r="U179" s="1">
        <v>36</v>
      </c>
      <c r="V179" s="4">
        <f t="shared" si="13"/>
        <v>483</v>
      </c>
      <c r="W179" s="8">
        <f t="shared" si="14"/>
        <v>479</v>
      </c>
      <c r="X179" s="5" t="str">
        <f>Stat[[#This Row],[服装]]&amp;Stat[[#This Row],[名前]]&amp;Stat[[#This Row],[レアリティ]]</f>
        <v>ユニフォーム木葉秋紀ICONIC</v>
      </c>
      <c r="Y179" s="5" t="s">
        <v>374</v>
      </c>
    </row>
    <row r="180" spans="1:25" ht="15" x14ac:dyDescent="0.35">
      <c r="A180" s="1">
        <f t="shared" si="15"/>
        <v>179</v>
      </c>
      <c r="B180" s="1" t="s">
        <v>386</v>
      </c>
      <c r="C180" s="1" t="s">
        <v>123</v>
      </c>
      <c r="D180" s="1" t="s">
        <v>77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77</v>
      </c>
      <c r="L180" s="1">
        <v>126</v>
      </c>
      <c r="M180" s="1">
        <v>120</v>
      </c>
      <c r="N180" s="1">
        <v>121</v>
      </c>
      <c r="O180" s="1">
        <v>124</v>
      </c>
      <c r="P180" s="1">
        <v>101</v>
      </c>
      <c r="Q180" s="1">
        <v>117</v>
      </c>
      <c r="R180" s="1">
        <v>122</v>
      </c>
      <c r="S180" s="1">
        <v>124</v>
      </c>
      <c r="T180" s="1">
        <v>122</v>
      </c>
      <c r="U180" s="1">
        <v>36</v>
      </c>
      <c r="V180" s="4">
        <f t="shared" si="13"/>
        <v>491</v>
      </c>
      <c r="W180" s="8">
        <f t="shared" si="14"/>
        <v>485</v>
      </c>
      <c r="X180" s="5" t="str">
        <f>Stat[[#This Row],[服装]]&amp;Stat[[#This Row],[名前]]&amp;Stat[[#This Row],[レアリティ]]</f>
        <v>探偵木葉秋紀ICONIC</v>
      </c>
      <c r="Y180" s="5" t="s">
        <v>374</v>
      </c>
    </row>
    <row r="181" spans="1:25" ht="15" x14ac:dyDescent="0.35">
      <c r="A181" s="1">
        <f t="shared" si="15"/>
        <v>180</v>
      </c>
      <c r="B181" s="1" t="s">
        <v>108</v>
      </c>
      <c r="C181" s="1" t="s">
        <v>124</v>
      </c>
      <c r="D181" s="1" t="s">
        <v>90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123</v>
      </c>
      <c r="M181" s="1">
        <v>119</v>
      </c>
      <c r="N181" s="1">
        <v>116</v>
      </c>
      <c r="O181" s="1">
        <v>121</v>
      </c>
      <c r="P181" s="1">
        <v>97</v>
      </c>
      <c r="Q181" s="1">
        <v>121</v>
      </c>
      <c r="R181" s="1">
        <v>121</v>
      </c>
      <c r="S181" s="1">
        <v>123</v>
      </c>
      <c r="T181" s="1">
        <v>118</v>
      </c>
      <c r="U181" s="1">
        <v>41</v>
      </c>
      <c r="V181" s="4">
        <f t="shared" si="13"/>
        <v>479</v>
      </c>
      <c r="W181" s="8">
        <f t="shared" si="14"/>
        <v>483</v>
      </c>
      <c r="X181" s="5" t="str">
        <f>Stat[[#This Row],[服装]]&amp;Stat[[#This Row],[名前]]&amp;Stat[[#This Row],[レアリティ]]</f>
        <v>ユニフォーム猿杙大和ICONIC</v>
      </c>
      <c r="Y181" s="5" t="s">
        <v>375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125</v>
      </c>
      <c r="D182" s="1" t="s">
        <v>90</v>
      </c>
      <c r="E182" s="1" t="s">
        <v>80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86</v>
      </c>
      <c r="L182" s="1">
        <v>113</v>
      </c>
      <c r="M182" s="1">
        <v>110</v>
      </c>
      <c r="N182" s="1">
        <v>113</v>
      </c>
      <c r="O182" s="1">
        <v>120</v>
      </c>
      <c r="P182" s="1">
        <v>101</v>
      </c>
      <c r="Q182" s="1">
        <v>110</v>
      </c>
      <c r="R182" s="1">
        <v>123</v>
      </c>
      <c r="S182" s="1">
        <v>119</v>
      </c>
      <c r="T182" s="1">
        <v>122</v>
      </c>
      <c r="U182" s="1">
        <v>41</v>
      </c>
      <c r="V182" s="4">
        <f t="shared" si="13"/>
        <v>456</v>
      </c>
      <c r="W182" s="8">
        <f t="shared" si="14"/>
        <v>474</v>
      </c>
      <c r="X182" s="5" t="str">
        <f>Stat[[#This Row],[服装]]&amp;Stat[[#This Row],[名前]]&amp;Stat[[#This Row],[レアリティ]]</f>
        <v>ユニフォーム小見春樹ICONIC</v>
      </c>
      <c r="Y182" s="5" t="s">
        <v>376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126</v>
      </c>
      <c r="D183" s="1" t="s">
        <v>90</v>
      </c>
      <c r="E183" s="1" t="s">
        <v>82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117</v>
      </c>
      <c r="M183" s="1">
        <v>117</v>
      </c>
      <c r="N183" s="1">
        <v>112</v>
      </c>
      <c r="O183" s="1">
        <v>116</v>
      </c>
      <c r="P183" s="1">
        <v>97</v>
      </c>
      <c r="Q183" s="1">
        <v>121</v>
      </c>
      <c r="R183" s="1">
        <v>113</v>
      </c>
      <c r="S183" s="1">
        <v>114</v>
      </c>
      <c r="T183" s="1">
        <v>115</v>
      </c>
      <c r="U183" s="1">
        <v>36</v>
      </c>
      <c r="V183" s="4">
        <f t="shared" si="13"/>
        <v>462</v>
      </c>
      <c r="W183" s="8">
        <f t="shared" si="14"/>
        <v>463</v>
      </c>
      <c r="X183" s="5" t="str">
        <f>Stat[[#This Row],[服装]]&amp;Stat[[#This Row],[名前]]&amp;Stat[[#This Row],[レアリティ]]</f>
        <v>ユニフォーム尾長渉ICONIC</v>
      </c>
      <c r="Y183" s="5" t="s">
        <v>377</v>
      </c>
    </row>
    <row r="184" spans="1:25" ht="15" x14ac:dyDescent="0.35">
      <c r="A184" s="1">
        <f t="shared" si="15"/>
        <v>183</v>
      </c>
      <c r="B184" s="1" t="s">
        <v>108</v>
      </c>
      <c r="C184" s="1" t="s">
        <v>127</v>
      </c>
      <c r="D184" s="1" t="s">
        <v>90</v>
      </c>
      <c r="E184" s="1" t="s">
        <v>82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121</v>
      </c>
      <c r="M184" s="1">
        <v>121</v>
      </c>
      <c r="N184" s="1">
        <v>112</v>
      </c>
      <c r="O184" s="1">
        <v>122</v>
      </c>
      <c r="P184" s="1">
        <v>97</v>
      </c>
      <c r="Q184" s="1">
        <v>125</v>
      </c>
      <c r="R184" s="1">
        <v>115</v>
      </c>
      <c r="S184" s="1">
        <v>116</v>
      </c>
      <c r="T184" s="1">
        <v>115</v>
      </c>
      <c r="U184" s="1">
        <v>36</v>
      </c>
      <c r="V184" s="4">
        <f t="shared" si="13"/>
        <v>476</v>
      </c>
      <c r="W184" s="8">
        <f t="shared" si="14"/>
        <v>471</v>
      </c>
      <c r="X184" s="5" t="str">
        <f>Stat[[#This Row],[服装]]&amp;Stat[[#This Row],[名前]]&amp;Stat[[#This Row],[レアリティ]]</f>
        <v>ユニフォーム鷲尾辰生ICONIC</v>
      </c>
      <c r="Y184" s="5" t="s">
        <v>378</v>
      </c>
    </row>
    <row r="185" spans="1:25" ht="15" x14ac:dyDescent="0.35">
      <c r="A185" s="1">
        <f t="shared" si="15"/>
        <v>184</v>
      </c>
      <c r="B185" s="1" t="s">
        <v>108</v>
      </c>
      <c r="C185" s="1" t="s">
        <v>129</v>
      </c>
      <c r="D185" s="1" t="s">
        <v>73</v>
      </c>
      <c r="E185" s="1" t="s">
        <v>74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78</v>
      </c>
      <c r="L185" s="1">
        <v>119</v>
      </c>
      <c r="M185" s="1">
        <v>121</v>
      </c>
      <c r="N185" s="1">
        <v>126</v>
      </c>
      <c r="O185" s="1">
        <v>126</v>
      </c>
      <c r="P185" s="1">
        <v>101</v>
      </c>
      <c r="Q185" s="1">
        <v>114</v>
      </c>
      <c r="R185" s="1">
        <v>121</v>
      </c>
      <c r="S185" s="1">
        <v>118</v>
      </c>
      <c r="T185" s="1">
        <v>119</v>
      </c>
      <c r="U185" s="1">
        <v>41</v>
      </c>
      <c r="V185" s="4">
        <f t="shared" si="13"/>
        <v>492</v>
      </c>
      <c r="W185" s="8">
        <f t="shared" si="14"/>
        <v>472</v>
      </c>
      <c r="X185" s="5" t="str">
        <f>Stat[[#This Row],[服装]]&amp;Stat[[#This Row],[名前]]&amp;Stat[[#This Row],[レアリティ]]</f>
        <v>ユニフォーム赤葦京治ICONIC</v>
      </c>
      <c r="Y185" s="5" t="s">
        <v>379</v>
      </c>
    </row>
    <row r="186" spans="1:25" ht="15" x14ac:dyDescent="0.35">
      <c r="A186" s="1">
        <f t="shared" si="15"/>
        <v>185</v>
      </c>
      <c r="B186" s="1" t="s">
        <v>150</v>
      </c>
      <c r="C186" s="1" t="s">
        <v>129</v>
      </c>
      <c r="D186" s="1" t="s">
        <v>90</v>
      </c>
      <c r="E186" s="1" t="s">
        <v>74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79</v>
      </c>
      <c r="L186" s="1">
        <v>120</v>
      </c>
      <c r="M186" s="1">
        <v>124</v>
      </c>
      <c r="N186" s="1">
        <v>129</v>
      </c>
      <c r="O186" s="1">
        <v>129</v>
      </c>
      <c r="P186" s="1">
        <v>101</v>
      </c>
      <c r="Q186" s="1">
        <v>115</v>
      </c>
      <c r="R186" s="1">
        <v>122</v>
      </c>
      <c r="S186" s="1">
        <v>119</v>
      </c>
      <c r="T186" s="1">
        <v>120</v>
      </c>
      <c r="U186" s="1">
        <v>41</v>
      </c>
      <c r="V186" s="4">
        <f t="shared" si="13"/>
        <v>502</v>
      </c>
      <c r="W186" s="8">
        <f t="shared" si="14"/>
        <v>476</v>
      </c>
      <c r="X186" s="5" t="str">
        <f>Stat[[#This Row],[服装]]&amp;Stat[[#This Row],[名前]]&amp;Stat[[#This Row],[レアリティ]]</f>
        <v>夏祭り赤葦京治ICONIC</v>
      </c>
      <c r="Y186" s="5" t="s">
        <v>379</v>
      </c>
    </row>
    <row r="187" spans="1:25" ht="15" x14ac:dyDescent="0.35">
      <c r="A187" s="1">
        <f t="shared" ref="A187:A195" si="16">ROW()-1</f>
        <v>186</v>
      </c>
      <c r="B187" s="1" t="s">
        <v>149</v>
      </c>
      <c r="C187" s="1" t="s">
        <v>129</v>
      </c>
      <c r="D187" s="1" t="s">
        <v>77</v>
      </c>
      <c r="E187" s="1" t="s">
        <v>74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82</v>
      </c>
      <c r="L187" s="1">
        <v>118</v>
      </c>
      <c r="M187" s="1">
        <v>126</v>
      </c>
      <c r="N187" s="1">
        <v>132</v>
      </c>
      <c r="O187" s="1">
        <v>131</v>
      </c>
      <c r="P187" s="1">
        <v>101</v>
      </c>
      <c r="Q187" s="1">
        <v>112</v>
      </c>
      <c r="R187" s="1">
        <v>122</v>
      </c>
      <c r="S187" s="1">
        <v>117</v>
      </c>
      <c r="T187" s="1">
        <v>120</v>
      </c>
      <c r="U187" s="1">
        <v>41</v>
      </c>
      <c r="V187" s="4">
        <f t="shared" ref="V187:V195" si="17">SUM(L187:O187)</f>
        <v>507</v>
      </c>
      <c r="W187" s="8">
        <f t="shared" ref="W187:W195" si="18">SUM(Q187:T187)</f>
        <v>471</v>
      </c>
      <c r="X187" s="5" t="str">
        <f>Stat[[#This Row],[服装]]&amp;Stat[[#This Row],[名前]]&amp;Stat[[#This Row],[レアリティ]]</f>
        <v>制服赤葦京治ICONIC</v>
      </c>
      <c r="Y187" s="5" t="s">
        <v>379</v>
      </c>
    </row>
    <row r="188" spans="1:25" ht="15" x14ac:dyDescent="0.35">
      <c r="A188" s="1">
        <f>ROW()-1</f>
        <v>187</v>
      </c>
      <c r="B188" s="1" t="s">
        <v>1165</v>
      </c>
      <c r="C188" s="1" t="s">
        <v>129</v>
      </c>
      <c r="D188" s="1" t="s">
        <v>73</v>
      </c>
      <c r="E188" s="1" t="s">
        <v>74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79</v>
      </c>
      <c r="L188" s="1">
        <v>118</v>
      </c>
      <c r="M188" s="1">
        <v>121</v>
      </c>
      <c r="N188" s="1">
        <v>131</v>
      </c>
      <c r="O188" s="1">
        <v>128</v>
      </c>
      <c r="P188" s="1">
        <v>101</v>
      </c>
      <c r="Q188" s="1">
        <v>118</v>
      </c>
      <c r="R188" s="1">
        <v>122</v>
      </c>
      <c r="S188" s="1">
        <v>121</v>
      </c>
      <c r="T188" s="1">
        <v>120</v>
      </c>
      <c r="U188" s="1">
        <v>41</v>
      </c>
      <c r="V188" s="4">
        <f>SUM(L188:O188)</f>
        <v>498</v>
      </c>
      <c r="W188" s="8">
        <f>SUM(Q188:T188)</f>
        <v>481</v>
      </c>
      <c r="X188" s="5" t="str">
        <f>Stat[[#This Row],[服装]]&amp;Stat[[#This Row],[名前]]&amp;Stat[[#This Row],[レアリティ]]</f>
        <v>バーガー赤葦京治ICONIC</v>
      </c>
      <c r="Y188" s="5" t="s">
        <v>379</v>
      </c>
    </row>
    <row r="189" spans="1:25" ht="15" x14ac:dyDescent="0.35">
      <c r="A189" s="1">
        <f t="shared" si="16"/>
        <v>188</v>
      </c>
      <c r="B189" s="1" t="s">
        <v>108</v>
      </c>
      <c r="C189" s="1" t="s">
        <v>1116</v>
      </c>
      <c r="D189" s="1" t="s">
        <v>90</v>
      </c>
      <c r="E189" s="1" t="s">
        <v>78</v>
      </c>
      <c r="F189" s="1" t="s">
        <v>1102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76</v>
      </c>
      <c r="L189" s="1">
        <v>118</v>
      </c>
      <c r="M189" s="1">
        <v>125</v>
      </c>
      <c r="N189" s="1">
        <v>115</v>
      </c>
      <c r="O189" s="1">
        <v>123</v>
      </c>
      <c r="P189" s="1">
        <v>101</v>
      </c>
      <c r="Q189" s="1">
        <v>114</v>
      </c>
      <c r="R189" s="1">
        <v>116</v>
      </c>
      <c r="S189" s="1">
        <v>115</v>
      </c>
      <c r="T189" s="1">
        <v>118</v>
      </c>
      <c r="U189" s="1">
        <v>31</v>
      </c>
      <c r="V189" s="4">
        <f t="shared" si="17"/>
        <v>481</v>
      </c>
      <c r="W189" s="8">
        <f t="shared" si="18"/>
        <v>463</v>
      </c>
      <c r="X189" s="5" t="str">
        <f>Stat[[#This Row],[服装]]&amp;Stat[[#This Row],[名前]]&amp;Stat[[#This Row],[レアリティ]]</f>
        <v>ユニフォーム姫川葵ICONIC</v>
      </c>
      <c r="Y189" s="5" t="s">
        <v>1118</v>
      </c>
    </row>
    <row r="190" spans="1:25" ht="15" x14ac:dyDescent="0.35">
      <c r="A190" s="1">
        <f t="shared" si="16"/>
        <v>189</v>
      </c>
      <c r="B190" s="1" t="s">
        <v>108</v>
      </c>
      <c r="C190" s="1" t="s">
        <v>1130</v>
      </c>
      <c r="D190" s="1" t="s">
        <v>90</v>
      </c>
      <c r="E190" s="1" t="s">
        <v>82</v>
      </c>
      <c r="F190" s="1" t="s">
        <v>1102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75</v>
      </c>
      <c r="L190" s="1">
        <v>114</v>
      </c>
      <c r="M190" s="1">
        <v>113</v>
      </c>
      <c r="N190" s="1">
        <v>112</v>
      </c>
      <c r="O190" s="1">
        <v>118</v>
      </c>
      <c r="P190" s="1">
        <v>97</v>
      </c>
      <c r="Q190" s="1">
        <v>123</v>
      </c>
      <c r="R190" s="1">
        <v>113</v>
      </c>
      <c r="S190" s="1">
        <v>116</v>
      </c>
      <c r="T190" s="1">
        <v>117</v>
      </c>
      <c r="U190" s="1">
        <v>31</v>
      </c>
      <c r="V190" s="4">
        <f t="shared" si="17"/>
        <v>457</v>
      </c>
      <c r="W190" s="8">
        <f t="shared" si="18"/>
        <v>469</v>
      </c>
      <c r="X190" s="5" t="str">
        <f>Stat[[#This Row],[服装]]&amp;Stat[[#This Row],[名前]]&amp;Stat[[#This Row],[レアリティ]]</f>
        <v>ユニフォーム当間義友ICONIC</v>
      </c>
      <c r="Y190" s="5" t="s">
        <v>1132</v>
      </c>
    </row>
    <row r="191" spans="1:25" ht="15" x14ac:dyDescent="0.35">
      <c r="A191" s="1">
        <f t="shared" si="16"/>
        <v>190</v>
      </c>
      <c r="B191" s="1" t="s">
        <v>108</v>
      </c>
      <c r="C191" s="1" t="s">
        <v>1100</v>
      </c>
      <c r="D191" s="1" t="s">
        <v>90</v>
      </c>
      <c r="E191" s="1" t="s">
        <v>74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78</v>
      </c>
      <c r="L191" s="1">
        <v>118</v>
      </c>
      <c r="M191" s="1">
        <v>120</v>
      </c>
      <c r="N191" s="1">
        <v>125</v>
      </c>
      <c r="O191" s="1">
        <v>126</v>
      </c>
      <c r="P191" s="1">
        <v>101</v>
      </c>
      <c r="Q191" s="1">
        <v>114</v>
      </c>
      <c r="R191" s="1">
        <v>119</v>
      </c>
      <c r="S191" s="1">
        <v>118</v>
      </c>
      <c r="T191" s="1">
        <v>117</v>
      </c>
      <c r="U191" s="1">
        <v>41</v>
      </c>
      <c r="V191" s="4">
        <f t="shared" si="17"/>
        <v>489</v>
      </c>
      <c r="W191" s="8">
        <f t="shared" si="18"/>
        <v>468</v>
      </c>
      <c r="X191" s="5" t="str">
        <f>Stat[[#This Row],[服装]]&amp;Stat[[#This Row],[名前]]&amp;Stat[[#This Row],[レアリティ]]</f>
        <v>ユニフォーム越後栄ICONIC</v>
      </c>
      <c r="Y191" s="5" t="s">
        <v>1104</v>
      </c>
    </row>
    <row r="192" spans="1:25" ht="15" x14ac:dyDescent="0.35">
      <c r="A192" s="1">
        <f t="shared" si="16"/>
        <v>191</v>
      </c>
      <c r="B192" s="1" t="s">
        <v>108</v>
      </c>
      <c r="C192" s="1" t="s">
        <v>1136</v>
      </c>
      <c r="D192" s="1" t="s">
        <v>90</v>
      </c>
      <c r="E192" s="1" t="s">
        <v>80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86</v>
      </c>
      <c r="L192" s="1">
        <v>113</v>
      </c>
      <c r="M192" s="1">
        <v>110</v>
      </c>
      <c r="N192" s="1">
        <v>112</v>
      </c>
      <c r="O192" s="1">
        <v>121</v>
      </c>
      <c r="P192" s="1">
        <v>101</v>
      </c>
      <c r="Q192" s="1">
        <v>110</v>
      </c>
      <c r="R192" s="1">
        <v>123</v>
      </c>
      <c r="S192" s="1">
        <v>119</v>
      </c>
      <c r="T192" s="1">
        <v>121</v>
      </c>
      <c r="U192" s="1">
        <v>41</v>
      </c>
      <c r="V192" s="4">
        <f t="shared" si="17"/>
        <v>456</v>
      </c>
      <c r="W192" s="8">
        <f t="shared" si="18"/>
        <v>473</v>
      </c>
      <c r="X192" s="5" t="str">
        <f>Stat[[#This Row],[服装]]&amp;Stat[[#This Row],[名前]]&amp;Stat[[#This Row],[レアリティ]]</f>
        <v>ユニフォーム貝掛亮文ICONIC</v>
      </c>
      <c r="Y192" s="5" t="s">
        <v>1138</v>
      </c>
    </row>
    <row r="193" spans="1:25" ht="15" x14ac:dyDescent="0.35">
      <c r="A193" s="1">
        <f>ROW()-1</f>
        <v>192</v>
      </c>
      <c r="B193" s="1" t="s">
        <v>108</v>
      </c>
      <c r="C193" s="1" t="s">
        <v>1147</v>
      </c>
      <c r="D193" s="1" t="s">
        <v>73</v>
      </c>
      <c r="E193" s="1" t="s">
        <v>78</v>
      </c>
      <c r="F193" s="1" t="s">
        <v>1102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77</v>
      </c>
      <c r="L193" s="1">
        <v>120</v>
      </c>
      <c r="M193" s="1">
        <v>117</v>
      </c>
      <c r="N193" s="1">
        <v>113</v>
      </c>
      <c r="O193" s="1">
        <v>119</v>
      </c>
      <c r="P193" s="1">
        <v>101</v>
      </c>
      <c r="Q193" s="1">
        <v>119</v>
      </c>
      <c r="R193" s="1">
        <v>117</v>
      </c>
      <c r="S193" s="1">
        <v>118</v>
      </c>
      <c r="T193" s="1">
        <v>117</v>
      </c>
      <c r="U193" s="1">
        <v>36</v>
      </c>
      <c r="V193" s="4">
        <f>SUM(L193:O193)</f>
        <v>469</v>
      </c>
      <c r="W193" s="8">
        <f>SUM(Q193:T193)</f>
        <v>471</v>
      </c>
      <c r="X193" s="5" t="str">
        <f>Stat[[#This Row],[服装]]&amp;Stat[[#This Row],[名前]]&amp;Stat[[#This Row],[レアリティ]]</f>
        <v>ユニフォーム丸山一喜ICONIC</v>
      </c>
      <c r="Y193" s="5" t="s">
        <v>1149</v>
      </c>
    </row>
    <row r="194" spans="1:25" ht="15" x14ac:dyDescent="0.35">
      <c r="A194" s="1">
        <f>ROW()-1</f>
        <v>193</v>
      </c>
      <c r="B194" s="1" t="s">
        <v>108</v>
      </c>
      <c r="C194" s="1" t="s">
        <v>1152</v>
      </c>
      <c r="D194" s="1" t="s">
        <v>90</v>
      </c>
      <c r="E194" s="1" t="s">
        <v>78</v>
      </c>
      <c r="F194" s="1" t="s">
        <v>1102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76</v>
      </c>
      <c r="L194" s="1">
        <v>120</v>
      </c>
      <c r="M194" s="1">
        <v>113</v>
      </c>
      <c r="N194" s="1">
        <v>112</v>
      </c>
      <c r="O194" s="1">
        <v>119</v>
      </c>
      <c r="P194" s="1">
        <v>97</v>
      </c>
      <c r="Q194" s="1">
        <v>118</v>
      </c>
      <c r="R194" s="1">
        <v>118</v>
      </c>
      <c r="S194" s="1">
        <v>117</v>
      </c>
      <c r="T194" s="1">
        <v>117</v>
      </c>
      <c r="U194" s="1">
        <v>41</v>
      </c>
      <c r="V194" s="4">
        <f>SUM(L194:O194)</f>
        <v>464</v>
      </c>
      <c r="W194" s="8">
        <f>SUM(Q194:T194)</f>
        <v>470</v>
      </c>
      <c r="X194" s="5" t="str">
        <f>Stat[[#This Row],[服装]]&amp;Stat[[#This Row],[名前]]&amp;Stat[[#This Row],[レアリティ]]</f>
        <v>ユニフォーム舞子侑志ICONIC</v>
      </c>
      <c r="Y194" s="5" t="s">
        <v>1153</v>
      </c>
    </row>
    <row r="195" spans="1:25" ht="15" x14ac:dyDescent="0.35">
      <c r="A195" s="1">
        <f t="shared" si="16"/>
        <v>194</v>
      </c>
      <c r="B195" s="1" t="s">
        <v>108</v>
      </c>
      <c r="C195" s="1" t="s">
        <v>1110</v>
      </c>
      <c r="D195" s="1" t="s">
        <v>90</v>
      </c>
      <c r="E195" s="1" t="s">
        <v>78</v>
      </c>
      <c r="F195" s="1" t="s">
        <v>1102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127</v>
      </c>
      <c r="M195" s="1">
        <v>116</v>
      </c>
      <c r="N195" s="1">
        <v>112</v>
      </c>
      <c r="O195" s="1">
        <v>119</v>
      </c>
      <c r="P195" s="1">
        <v>97</v>
      </c>
      <c r="Q195" s="1">
        <v>117</v>
      </c>
      <c r="R195" s="1">
        <v>114</v>
      </c>
      <c r="S195" s="1">
        <v>118</v>
      </c>
      <c r="T195" s="1">
        <v>116</v>
      </c>
      <c r="U195" s="1">
        <v>36</v>
      </c>
      <c r="V195" s="4">
        <f t="shared" si="17"/>
        <v>474</v>
      </c>
      <c r="W195" s="8">
        <f t="shared" si="18"/>
        <v>465</v>
      </c>
      <c r="X195" s="5" t="str">
        <f>Stat[[#This Row],[服装]]&amp;Stat[[#This Row],[名前]]&amp;Stat[[#This Row],[レアリティ]]</f>
        <v>ユニフォーム寺泊基希ICONIC</v>
      </c>
      <c r="Y195" s="5" t="s">
        <v>1112</v>
      </c>
    </row>
    <row r="196" spans="1:25" ht="15" x14ac:dyDescent="0.35">
      <c r="A196" s="1">
        <f t="shared" si="15"/>
        <v>195</v>
      </c>
      <c r="B196" s="1" t="s">
        <v>108</v>
      </c>
      <c r="C196" s="1" t="s">
        <v>283</v>
      </c>
      <c r="D196" s="1" t="s">
        <v>77</v>
      </c>
      <c r="E196" s="1" t="s">
        <v>78</v>
      </c>
      <c r="F196" s="1" t="s">
        <v>134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83</v>
      </c>
      <c r="L196" s="1">
        <v>130</v>
      </c>
      <c r="M196" s="1">
        <v>125</v>
      </c>
      <c r="N196" s="1">
        <v>115</v>
      </c>
      <c r="O196" s="1">
        <v>121</v>
      </c>
      <c r="P196" s="1">
        <v>101</v>
      </c>
      <c r="Q196" s="1">
        <v>118</v>
      </c>
      <c r="R196" s="1">
        <v>118</v>
      </c>
      <c r="S196" s="1">
        <v>126</v>
      </c>
      <c r="T196" s="1">
        <v>121</v>
      </c>
      <c r="U196" s="1">
        <v>36</v>
      </c>
      <c r="V196" s="4">
        <f t="shared" si="13"/>
        <v>491</v>
      </c>
      <c r="W196" s="8">
        <f t="shared" si="14"/>
        <v>483</v>
      </c>
      <c r="X196" s="5" t="str">
        <f>Stat[[#This Row],[服装]]&amp;Stat[[#This Row],[名前]]&amp;Stat[[#This Row],[レアリティ]]</f>
        <v>ユニフォーム星海光来ICONIC</v>
      </c>
      <c r="Y196" s="5" t="s">
        <v>380</v>
      </c>
    </row>
    <row r="197" spans="1:25" ht="15" x14ac:dyDescent="0.35">
      <c r="A197" s="1">
        <f t="shared" si="15"/>
        <v>196</v>
      </c>
      <c r="B197" s="1" t="s">
        <v>895</v>
      </c>
      <c r="C197" s="1" t="s">
        <v>283</v>
      </c>
      <c r="D197" s="1" t="s">
        <v>73</v>
      </c>
      <c r="E197" s="1" t="s">
        <v>78</v>
      </c>
      <c r="F197" s="1" t="s">
        <v>134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84</v>
      </c>
      <c r="L197" s="1">
        <v>133</v>
      </c>
      <c r="M197" s="1">
        <v>128</v>
      </c>
      <c r="N197" s="1">
        <v>116</v>
      </c>
      <c r="O197" s="1">
        <v>122</v>
      </c>
      <c r="P197" s="1">
        <v>101</v>
      </c>
      <c r="Q197" s="1">
        <v>119</v>
      </c>
      <c r="R197" s="1">
        <v>119</v>
      </c>
      <c r="S197" s="1">
        <v>129</v>
      </c>
      <c r="T197" s="1">
        <v>122</v>
      </c>
      <c r="U197" s="1">
        <v>36</v>
      </c>
      <c r="V197" s="4">
        <f t="shared" si="13"/>
        <v>499</v>
      </c>
      <c r="W197" s="8">
        <f t="shared" si="14"/>
        <v>489</v>
      </c>
      <c r="X197" s="5" t="str">
        <f>Stat[[#This Row],[服装]]&amp;Stat[[#This Row],[名前]]&amp;Stat[[#This Row],[レアリティ]]</f>
        <v>文化祭星海光来ICONIC</v>
      </c>
      <c r="Y197" s="5" t="s">
        <v>380</v>
      </c>
    </row>
    <row r="198" spans="1:25" ht="15" x14ac:dyDescent="0.35">
      <c r="A198" s="1">
        <f>ROW()-1</f>
        <v>197</v>
      </c>
      <c r="B198" s="1" t="s">
        <v>1049</v>
      </c>
      <c r="C198" s="1" t="s">
        <v>283</v>
      </c>
      <c r="D198" s="1" t="s">
        <v>90</v>
      </c>
      <c r="E198" s="1" t="s">
        <v>78</v>
      </c>
      <c r="F198" s="1" t="s">
        <v>134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84</v>
      </c>
      <c r="L198" s="1">
        <v>132</v>
      </c>
      <c r="M198" s="1">
        <v>130</v>
      </c>
      <c r="N198" s="1">
        <v>115</v>
      </c>
      <c r="O198" s="1">
        <v>123</v>
      </c>
      <c r="P198" s="1">
        <v>101</v>
      </c>
      <c r="Q198" s="1">
        <v>117</v>
      </c>
      <c r="R198" s="1">
        <v>121</v>
      </c>
      <c r="S198" s="1">
        <v>128</v>
      </c>
      <c r="T198" s="1">
        <v>123</v>
      </c>
      <c r="U198" s="1">
        <v>36</v>
      </c>
      <c r="V198" s="4">
        <f>SUM(L198:O198)</f>
        <v>500</v>
      </c>
      <c r="W198" s="8">
        <f>SUM(Q198:T198)</f>
        <v>489</v>
      </c>
      <c r="X198" s="5" t="str">
        <f>Stat[[#This Row],[服装]]&amp;Stat[[#This Row],[名前]]&amp;Stat[[#This Row],[レアリティ]]</f>
        <v>サバゲ星海光来ICONIC</v>
      </c>
      <c r="Y198" s="5" t="s">
        <v>380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133</v>
      </c>
      <c r="D199" s="1" t="s">
        <v>77</v>
      </c>
      <c r="E199" s="1" t="s">
        <v>82</v>
      </c>
      <c r="F199" s="1" t="s">
        <v>134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125</v>
      </c>
      <c r="M199" s="1">
        <v>122</v>
      </c>
      <c r="N199" s="1">
        <v>112</v>
      </c>
      <c r="O199" s="1">
        <v>121</v>
      </c>
      <c r="P199" s="1">
        <v>101</v>
      </c>
      <c r="Q199" s="1">
        <v>131</v>
      </c>
      <c r="R199" s="1">
        <v>115</v>
      </c>
      <c r="S199" s="1">
        <v>115</v>
      </c>
      <c r="T199" s="1">
        <v>117</v>
      </c>
      <c r="U199" s="1">
        <v>41</v>
      </c>
      <c r="V199" s="4">
        <f t="shared" si="13"/>
        <v>480</v>
      </c>
      <c r="W199" s="8">
        <f t="shared" si="14"/>
        <v>478</v>
      </c>
      <c r="X199" s="5" t="str">
        <f>Stat[[#This Row],[服装]]&amp;Stat[[#This Row],[名前]]&amp;Stat[[#This Row],[レアリティ]]</f>
        <v>ユニフォーム昼神幸郎ICONIC</v>
      </c>
      <c r="Y199" s="5" t="s">
        <v>383</v>
      </c>
    </row>
    <row r="200" spans="1:25" ht="15" x14ac:dyDescent="0.35">
      <c r="A200" s="1">
        <f>ROW()-1</f>
        <v>199</v>
      </c>
      <c r="B200" s="1" t="s">
        <v>915</v>
      </c>
      <c r="C200" s="1" t="s">
        <v>133</v>
      </c>
      <c r="D200" s="1" t="s">
        <v>73</v>
      </c>
      <c r="E200" s="1" t="s">
        <v>82</v>
      </c>
      <c r="F200" s="1" t="s">
        <v>134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76</v>
      </c>
      <c r="L200" s="1">
        <v>128</v>
      </c>
      <c r="M200" s="1">
        <v>123</v>
      </c>
      <c r="N200" s="1">
        <v>113</v>
      </c>
      <c r="O200" s="1">
        <v>122</v>
      </c>
      <c r="P200" s="1">
        <v>101</v>
      </c>
      <c r="Q200" s="1">
        <v>134</v>
      </c>
      <c r="R200" s="1">
        <v>116</v>
      </c>
      <c r="S200" s="1">
        <v>118</v>
      </c>
      <c r="T200" s="1">
        <v>118</v>
      </c>
      <c r="U200" s="1">
        <v>41</v>
      </c>
      <c r="V200" s="4">
        <f t="shared" si="13"/>
        <v>486</v>
      </c>
      <c r="W200" s="8">
        <f t="shared" si="14"/>
        <v>486</v>
      </c>
      <c r="X200" s="5" t="str">
        <f>Stat[[#This Row],[服装]]&amp;Stat[[#This Row],[名前]]&amp;Stat[[#This Row],[レアリティ]]</f>
        <v>Xmas昼神幸郎ICONIC</v>
      </c>
      <c r="Y200" s="5" t="s">
        <v>383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131</v>
      </c>
      <c r="D201" s="1" t="s">
        <v>77</v>
      </c>
      <c r="E201" s="1" t="s">
        <v>78</v>
      </c>
      <c r="F201" s="1" t="s">
        <v>135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82</v>
      </c>
      <c r="L201" s="1">
        <v>129</v>
      </c>
      <c r="M201" s="1">
        <v>126</v>
      </c>
      <c r="N201" s="1">
        <v>114</v>
      </c>
      <c r="O201" s="1">
        <v>121</v>
      </c>
      <c r="P201" s="1">
        <v>101</v>
      </c>
      <c r="Q201" s="1">
        <v>118</v>
      </c>
      <c r="R201" s="1">
        <v>123</v>
      </c>
      <c r="S201" s="1">
        <v>119</v>
      </c>
      <c r="T201" s="1">
        <v>120</v>
      </c>
      <c r="U201" s="1">
        <v>41</v>
      </c>
      <c r="V201" s="4">
        <f t="shared" si="13"/>
        <v>490</v>
      </c>
      <c r="W201" s="8">
        <f t="shared" si="14"/>
        <v>480</v>
      </c>
      <c r="X201" s="5" t="str">
        <f>Stat[[#This Row],[服装]]&amp;Stat[[#This Row],[名前]]&amp;Stat[[#This Row],[レアリティ]]</f>
        <v>ユニフォーム佐久早聖臣ICONIC</v>
      </c>
      <c r="Y201" s="5" t="s">
        <v>381</v>
      </c>
    </row>
    <row r="202" spans="1:25" ht="15" x14ac:dyDescent="0.35">
      <c r="A202" s="1">
        <f>ROW()-1</f>
        <v>201</v>
      </c>
      <c r="B202" s="1" t="s">
        <v>1049</v>
      </c>
      <c r="C202" s="1" t="s">
        <v>131</v>
      </c>
      <c r="D202" s="1" t="s">
        <v>73</v>
      </c>
      <c r="E202" s="1" t="s">
        <v>78</v>
      </c>
      <c r="F202" s="1" t="s">
        <v>135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83</v>
      </c>
      <c r="L202" s="1">
        <v>132</v>
      </c>
      <c r="M202" s="1">
        <v>129</v>
      </c>
      <c r="N202" s="1">
        <v>115</v>
      </c>
      <c r="O202" s="1">
        <v>122</v>
      </c>
      <c r="P202" s="1">
        <v>101</v>
      </c>
      <c r="Q202" s="1">
        <v>119</v>
      </c>
      <c r="R202" s="1">
        <v>124</v>
      </c>
      <c r="S202" s="1">
        <v>122</v>
      </c>
      <c r="T202" s="1">
        <v>121</v>
      </c>
      <c r="U202" s="1">
        <v>41</v>
      </c>
      <c r="V202" s="4">
        <f>SUM(L202:O202)</f>
        <v>498</v>
      </c>
      <c r="W202" s="8">
        <f>SUM(Q202:T202)</f>
        <v>486</v>
      </c>
      <c r="X202" s="5" t="str">
        <f>Stat[[#This Row],[服装]]&amp;Stat[[#This Row],[名前]]&amp;Stat[[#This Row],[レアリティ]]</f>
        <v>サバゲ佐久早聖臣ICONIC</v>
      </c>
      <c r="Y202" s="5" t="s">
        <v>381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132</v>
      </c>
      <c r="D203" s="1" t="s">
        <v>77</v>
      </c>
      <c r="E203" s="1" t="s">
        <v>80</v>
      </c>
      <c r="F203" s="1" t="s">
        <v>135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86</v>
      </c>
      <c r="L203" s="1">
        <v>115</v>
      </c>
      <c r="M203" s="1">
        <v>111</v>
      </c>
      <c r="N203" s="1">
        <v>119</v>
      </c>
      <c r="O203" s="1">
        <v>124</v>
      </c>
      <c r="P203" s="1">
        <v>101</v>
      </c>
      <c r="Q203" s="1">
        <v>110</v>
      </c>
      <c r="R203" s="1">
        <v>131</v>
      </c>
      <c r="S203" s="1">
        <v>116</v>
      </c>
      <c r="T203" s="1">
        <v>121</v>
      </c>
      <c r="U203" s="1">
        <v>36</v>
      </c>
      <c r="V203" s="4">
        <f t="shared" si="13"/>
        <v>469</v>
      </c>
      <c r="W203" s="8">
        <f t="shared" si="14"/>
        <v>478</v>
      </c>
      <c r="X203" s="5" t="str">
        <f>Stat[[#This Row],[服装]]&amp;Stat[[#This Row],[名前]]&amp;Stat[[#This Row],[レアリティ]]</f>
        <v>ユニフォーム小森元也ICONIC</v>
      </c>
      <c r="Y203" s="5" t="s">
        <v>382</v>
      </c>
    </row>
    <row r="204" spans="1:25" ht="15" x14ac:dyDescent="0.35">
      <c r="A204" s="1">
        <f t="shared" si="15"/>
        <v>203</v>
      </c>
      <c r="B204" s="1" t="s">
        <v>108</v>
      </c>
      <c r="C204" s="1" t="s">
        <v>687</v>
      </c>
      <c r="D204" s="1" t="s">
        <v>90</v>
      </c>
      <c r="E204" s="1" t="s">
        <v>78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76</v>
      </c>
      <c r="L204" s="1">
        <v>123</v>
      </c>
      <c r="M204" s="1">
        <v>119</v>
      </c>
      <c r="N204" s="1">
        <v>118</v>
      </c>
      <c r="O204" s="1">
        <v>123</v>
      </c>
      <c r="P204" s="1">
        <v>101</v>
      </c>
      <c r="Q204" s="1">
        <v>116</v>
      </c>
      <c r="R204" s="1">
        <v>122</v>
      </c>
      <c r="S204" s="1">
        <v>123</v>
      </c>
      <c r="T204" s="1">
        <v>118</v>
      </c>
      <c r="U204" s="1">
        <v>36</v>
      </c>
      <c r="V204" s="4">
        <f t="shared" si="13"/>
        <v>483</v>
      </c>
      <c r="W204" s="8">
        <f t="shared" si="14"/>
        <v>479</v>
      </c>
      <c r="X204" s="5" t="str">
        <f>Stat[[#This Row],[服装]]&amp;Stat[[#This Row],[名前]]&amp;Stat[[#This Row],[レアリティ]]</f>
        <v>ユニフォーム大将優ICONIC</v>
      </c>
      <c r="Y204" s="5" t="s">
        <v>694</v>
      </c>
    </row>
    <row r="205" spans="1:25" ht="15" x14ac:dyDescent="0.35">
      <c r="A205" s="1">
        <f>ROW()-1</f>
        <v>204</v>
      </c>
      <c r="B205" s="1" t="s">
        <v>935</v>
      </c>
      <c r="C205" s="1" t="s">
        <v>687</v>
      </c>
      <c r="D205" s="1" t="s">
        <v>77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77</v>
      </c>
      <c r="L205" s="1">
        <v>126</v>
      </c>
      <c r="M205" s="1">
        <v>122</v>
      </c>
      <c r="N205" s="1">
        <v>119</v>
      </c>
      <c r="O205" s="1">
        <v>124</v>
      </c>
      <c r="P205" s="1">
        <v>101</v>
      </c>
      <c r="Q205" s="1">
        <v>117</v>
      </c>
      <c r="R205" s="1">
        <v>123</v>
      </c>
      <c r="S205" s="1">
        <v>126</v>
      </c>
      <c r="T205" s="1">
        <v>119</v>
      </c>
      <c r="U205" s="1">
        <v>36</v>
      </c>
      <c r="V205" s="4">
        <f t="shared" si="13"/>
        <v>491</v>
      </c>
      <c r="W205" s="8">
        <f t="shared" si="14"/>
        <v>485</v>
      </c>
      <c r="X205" s="5" t="str">
        <f>Stat[[#This Row],[服装]]&amp;Stat[[#This Row],[名前]]&amp;Stat[[#This Row],[レアリティ]]</f>
        <v>新年大将優ICONIC</v>
      </c>
      <c r="Y205" s="5" t="s">
        <v>694</v>
      </c>
    </row>
    <row r="206" spans="1:25" ht="15" x14ac:dyDescent="0.35">
      <c r="A206" s="1">
        <f t="shared" si="15"/>
        <v>205</v>
      </c>
      <c r="B206" s="1" t="s">
        <v>108</v>
      </c>
      <c r="C206" s="1" t="s">
        <v>692</v>
      </c>
      <c r="D206" s="1" t="s">
        <v>90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75</v>
      </c>
      <c r="L206" s="1">
        <v>125</v>
      </c>
      <c r="M206" s="1">
        <v>119</v>
      </c>
      <c r="N206" s="1">
        <v>116</v>
      </c>
      <c r="O206" s="1">
        <v>119</v>
      </c>
      <c r="P206" s="1">
        <v>97</v>
      </c>
      <c r="Q206" s="1">
        <v>118</v>
      </c>
      <c r="R206" s="1">
        <v>119</v>
      </c>
      <c r="S206" s="1">
        <v>121</v>
      </c>
      <c r="T206" s="1">
        <v>119</v>
      </c>
      <c r="U206" s="1">
        <v>36</v>
      </c>
      <c r="V206" s="4">
        <f t="shared" si="13"/>
        <v>479</v>
      </c>
      <c r="W206" s="8">
        <f t="shared" si="14"/>
        <v>477</v>
      </c>
      <c r="X206" s="5" t="str">
        <f>Stat[[#This Row],[服装]]&amp;Stat[[#This Row],[名前]]&amp;Stat[[#This Row],[レアリティ]]</f>
        <v>ユニフォーム沼井和馬ICONIC</v>
      </c>
      <c r="Y206" s="5" t="s">
        <v>696</v>
      </c>
    </row>
    <row r="207" spans="1:25" ht="15" x14ac:dyDescent="0.35">
      <c r="A207" s="1">
        <f t="shared" si="15"/>
        <v>206</v>
      </c>
      <c r="B207" s="1" t="s">
        <v>108</v>
      </c>
      <c r="C207" s="1" t="s">
        <v>858</v>
      </c>
      <c r="D207" s="1" t="s">
        <v>90</v>
      </c>
      <c r="E207" s="1" t="s">
        <v>78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75</v>
      </c>
      <c r="L207" s="1">
        <v>123</v>
      </c>
      <c r="M207" s="1">
        <v>118</v>
      </c>
      <c r="N207" s="1">
        <v>114</v>
      </c>
      <c r="O207" s="1">
        <v>121</v>
      </c>
      <c r="P207" s="1">
        <v>97</v>
      </c>
      <c r="Q207" s="1">
        <v>117</v>
      </c>
      <c r="R207" s="1">
        <v>115</v>
      </c>
      <c r="S207" s="1">
        <v>120</v>
      </c>
      <c r="T207" s="1">
        <v>117</v>
      </c>
      <c r="U207" s="1">
        <v>31</v>
      </c>
      <c r="V207" s="4">
        <f t="shared" si="13"/>
        <v>476</v>
      </c>
      <c r="W207" s="8">
        <f t="shared" si="14"/>
        <v>469</v>
      </c>
      <c r="X207" s="5" t="str">
        <f>Stat[[#This Row],[服装]]&amp;Stat[[#This Row],[名前]]&amp;Stat[[#This Row],[レアリティ]]</f>
        <v>ユニフォーム潜尚保ICONIC</v>
      </c>
      <c r="Y207" s="5" t="s">
        <v>870</v>
      </c>
    </row>
    <row r="208" spans="1:25" ht="15" x14ac:dyDescent="0.35">
      <c r="A208" s="1">
        <f>ROW()-1</f>
        <v>207</v>
      </c>
      <c r="B208" s="1" t="s">
        <v>1165</v>
      </c>
      <c r="C208" s="1" t="s">
        <v>858</v>
      </c>
      <c r="D208" s="1" t="s">
        <v>77</v>
      </c>
      <c r="E208" s="1" t="s">
        <v>78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76</v>
      </c>
      <c r="L208" s="1">
        <v>126</v>
      </c>
      <c r="M208" s="1">
        <v>121</v>
      </c>
      <c r="N208" s="1">
        <v>115</v>
      </c>
      <c r="O208" s="1">
        <v>122</v>
      </c>
      <c r="P208" s="1">
        <v>97</v>
      </c>
      <c r="Q208" s="1">
        <v>118</v>
      </c>
      <c r="R208" s="1">
        <v>116</v>
      </c>
      <c r="S208" s="1">
        <v>123</v>
      </c>
      <c r="T208" s="1">
        <v>118</v>
      </c>
      <c r="U208" s="1">
        <v>31</v>
      </c>
      <c r="V208" s="4">
        <f>SUM(L208:O208)</f>
        <v>484</v>
      </c>
      <c r="W208" s="8">
        <f>SUM(Q208:T208)</f>
        <v>475</v>
      </c>
      <c r="X208" s="5" t="str">
        <f>Stat[[#This Row],[服装]]&amp;Stat[[#This Row],[名前]]&amp;Stat[[#This Row],[レアリティ]]</f>
        <v>バーガー潜尚保ICONIC</v>
      </c>
      <c r="Y208" s="5" t="s">
        <v>870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860</v>
      </c>
      <c r="D209" s="1" t="s">
        <v>90</v>
      </c>
      <c r="E209" s="1" t="s">
        <v>78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74</v>
      </c>
      <c r="L209" s="1">
        <v>121</v>
      </c>
      <c r="M209" s="1">
        <v>120</v>
      </c>
      <c r="N209" s="1">
        <v>114</v>
      </c>
      <c r="O209" s="1">
        <v>121</v>
      </c>
      <c r="P209" s="1">
        <v>101</v>
      </c>
      <c r="Q209" s="1">
        <v>116</v>
      </c>
      <c r="R209" s="1">
        <v>116</v>
      </c>
      <c r="S209" s="1">
        <v>118</v>
      </c>
      <c r="T209" s="1">
        <v>115</v>
      </c>
      <c r="U209" s="1">
        <v>36</v>
      </c>
      <c r="V209" s="4">
        <f t="shared" si="13"/>
        <v>476</v>
      </c>
      <c r="W209" s="8">
        <f t="shared" si="14"/>
        <v>465</v>
      </c>
      <c r="X209" s="5" t="str">
        <f>Stat[[#This Row],[服装]]&amp;Stat[[#This Row],[名前]]&amp;Stat[[#This Row],[レアリティ]]</f>
        <v>ユニフォーム高千穂恵也ICONIC</v>
      </c>
      <c r="Y209" s="5" t="s">
        <v>872</v>
      </c>
    </row>
    <row r="210" spans="1:25" ht="15" x14ac:dyDescent="0.35">
      <c r="A210" s="1">
        <f t="shared" si="15"/>
        <v>209</v>
      </c>
      <c r="B210" s="1" t="s">
        <v>108</v>
      </c>
      <c r="C210" s="1" t="s">
        <v>862</v>
      </c>
      <c r="D210" s="1" t="s">
        <v>90</v>
      </c>
      <c r="E210" s="1" t="s">
        <v>82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74</v>
      </c>
      <c r="L210" s="1">
        <v>116</v>
      </c>
      <c r="M210" s="1">
        <v>112</v>
      </c>
      <c r="N210" s="1">
        <v>112</v>
      </c>
      <c r="O210" s="1">
        <v>126</v>
      </c>
      <c r="P210" s="1">
        <v>97</v>
      </c>
      <c r="Q210" s="1">
        <v>121</v>
      </c>
      <c r="R210" s="1">
        <v>115</v>
      </c>
      <c r="S210" s="1">
        <v>116</v>
      </c>
      <c r="T210" s="1">
        <v>116</v>
      </c>
      <c r="U210" s="1">
        <v>31</v>
      </c>
      <c r="V210" s="4">
        <f t="shared" si="13"/>
        <v>466</v>
      </c>
      <c r="W210" s="8">
        <f t="shared" si="14"/>
        <v>468</v>
      </c>
      <c r="X210" s="5" t="str">
        <f>Stat[[#This Row],[服装]]&amp;Stat[[#This Row],[名前]]&amp;Stat[[#This Row],[レアリティ]]</f>
        <v>ユニフォーム広尾倖児ICONIC</v>
      </c>
      <c r="Y210" s="5" t="s">
        <v>874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864</v>
      </c>
      <c r="D211" s="1" t="s">
        <v>90</v>
      </c>
      <c r="E211" s="1" t="s">
        <v>74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73</v>
      </c>
      <c r="L211" s="1">
        <v>115</v>
      </c>
      <c r="M211" s="1">
        <v>116</v>
      </c>
      <c r="N211" s="1">
        <v>120</v>
      </c>
      <c r="O211" s="1">
        <v>120</v>
      </c>
      <c r="P211" s="1">
        <v>97</v>
      </c>
      <c r="Q211" s="1">
        <v>115</v>
      </c>
      <c r="R211" s="1">
        <v>114</v>
      </c>
      <c r="S211" s="1">
        <v>116</v>
      </c>
      <c r="T211" s="1">
        <v>117</v>
      </c>
      <c r="U211" s="1">
        <v>41</v>
      </c>
      <c r="V211" s="4">
        <f t="shared" si="13"/>
        <v>471</v>
      </c>
      <c r="W211" s="8">
        <f t="shared" si="14"/>
        <v>462</v>
      </c>
      <c r="X211" s="5" t="str">
        <f>Stat[[#This Row],[服装]]&amp;Stat[[#This Row],[名前]]&amp;Stat[[#This Row],[レアリティ]]</f>
        <v>ユニフォーム先島伊澄ICONIC</v>
      </c>
      <c r="Y211" s="5" t="s">
        <v>876</v>
      </c>
    </row>
    <row r="212" spans="1:25" ht="15" x14ac:dyDescent="0.35">
      <c r="A212" s="1">
        <f t="shared" si="15"/>
        <v>211</v>
      </c>
      <c r="B212" s="1" t="s">
        <v>108</v>
      </c>
      <c r="C212" s="1" t="s">
        <v>866</v>
      </c>
      <c r="D212" s="1" t="s">
        <v>90</v>
      </c>
      <c r="E212" s="1" t="s">
        <v>82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72</v>
      </c>
      <c r="L212" s="1">
        <v>117</v>
      </c>
      <c r="M212" s="1">
        <v>113</v>
      </c>
      <c r="N212" s="1">
        <v>112</v>
      </c>
      <c r="O212" s="1">
        <v>116</v>
      </c>
      <c r="P212" s="1">
        <v>97</v>
      </c>
      <c r="Q212" s="1">
        <v>121</v>
      </c>
      <c r="R212" s="1">
        <v>115</v>
      </c>
      <c r="S212" s="1">
        <v>116</v>
      </c>
      <c r="T212" s="1">
        <v>115</v>
      </c>
      <c r="U212" s="1">
        <v>31</v>
      </c>
      <c r="V212" s="4">
        <f t="shared" si="13"/>
        <v>458</v>
      </c>
      <c r="W212" s="8">
        <f t="shared" si="14"/>
        <v>467</v>
      </c>
      <c r="X212" s="5" t="str">
        <f>Stat[[#This Row],[服装]]&amp;Stat[[#This Row],[名前]]&amp;Stat[[#This Row],[レアリティ]]</f>
        <v>ユニフォーム背黒晃彦ICONIC</v>
      </c>
      <c r="Y212" s="5" t="s">
        <v>878</v>
      </c>
    </row>
    <row r="213" spans="1:25" ht="15" x14ac:dyDescent="0.35">
      <c r="A213" s="1">
        <f t="shared" si="15"/>
        <v>212</v>
      </c>
      <c r="B213" s="1" t="s">
        <v>108</v>
      </c>
      <c r="C213" s="1" t="s">
        <v>868</v>
      </c>
      <c r="D213" s="1" t="s">
        <v>90</v>
      </c>
      <c r="E213" s="1" t="s">
        <v>80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86</v>
      </c>
      <c r="L213" s="1">
        <v>112</v>
      </c>
      <c r="M213" s="1">
        <v>110</v>
      </c>
      <c r="N213" s="1">
        <v>114</v>
      </c>
      <c r="O213" s="1">
        <v>120</v>
      </c>
      <c r="P213" s="1">
        <v>101</v>
      </c>
      <c r="Q213" s="1">
        <v>110</v>
      </c>
      <c r="R213" s="1">
        <v>121</v>
      </c>
      <c r="S213" s="1">
        <v>119</v>
      </c>
      <c r="T213" s="1">
        <v>120</v>
      </c>
      <c r="U213" s="1">
        <v>41</v>
      </c>
      <c r="V213" s="4">
        <f t="shared" si="13"/>
        <v>456</v>
      </c>
      <c r="W213" s="8">
        <f t="shared" si="14"/>
        <v>470</v>
      </c>
      <c r="X213" s="5" t="str">
        <f>Stat[[#This Row],[服装]]&amp;Stat[[#This Row],[名前]]&amp;Stat[[#This Row],[レアリティ]]</f>
        <v>ユニフォーム赤間颯ICONIC</v>
      </c>
      <c r="Y213" s="5" t="s">
        <v>880</v>
      </c>
    </row>
    <row r="214" spans="1:25" ht="15" x14ac:dyDescent="0.35"/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75:W213 V2:W173 V174:W17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37"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40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45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46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47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48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49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50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51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57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63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64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65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76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78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89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90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96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97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103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107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110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113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121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123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129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133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139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141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146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147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148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154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155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164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165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171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182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183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189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198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199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209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211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G30" sqref="G3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101.58703470634373</v>
      </c>
      <c r="K2" s="12">
        <f>IF(RZS_S[[#This Row],[名前]]="","",(100+((VLOOKUP(RZS_S[[#This Row],[No用]],Q_Stat[],15,FALSE)-Statistics100!D$59)*5)/Statistics100!D$66))</f>
        <v>101.58703470634373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Row],[名前]]="","",(100+((VLOOKUP(RZS_S[[#This Row],[No用]],Q_Stat[],17,FALSE)-Statistics100!F$59)*5)/Statistics100!F$66))</f>
        <v>100</v>
      </c>
      <c r="N2" s="12">
        <f>IF(RZS_S[[#This Row],[名前]]="","",(100+((VLOOKUP(RZS_S[[#This Row],[No用]],Q_Stat[],18,FALSE)-Statistics100!G$59)*5)/Statistics100!G$66))</f>
        <v>98.072886428011188</v>
      </c>
      <c r="O2" s="12">
        <f>IF(RZS_S[[#This Row],[名前]]="","",(100+((VLOOKUP(RZS_S[[#This Row],[No用]],Q_Stat[],19,FALSE)-Statistics100!H$59)*5)/Statistics100!H$66))</f>
        <v>105.05867312647061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94.60408199843134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99.036443214005601</v>
      </c>
      <c r="T2" s="12">
        <f>IF(RZS_S[[#This Row],[名前]]="","",(100+((VLOOKUP(RZS_S[[#This Row],[No用]],Q_Stat[],26,FALSE)-Statistics100!M$59)*5)/Statistics100!M$66))</f>
        <v>105.18838269381601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101.58703470634373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95.953061498823502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103.96758676585931</v>
      </c>
      <c r="K3" s="12">
        <f>IF(RZS_S[[#This Row],[名前]]="","",(100+((VLOOKUP(RZS_S[[#This Row],[No用]],Q_Stat[],15,FALSE)-Statistics100!D$59)*5)/Statistics100!D$66))</f>
        <v>103.96758676585931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Row],[名前]]="","",(100+((VLOOKUP(RZS_S[[#This Row],[No用]],Q_Stat[],17,FALSE)-Statistics100!F$59)*5)/Statistics100!F$66))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106.74489750196082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97.302040999215677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102.40889196498601</v>
      </c>
      <c r="T3" s="12">
        <f>IF(RZS_S[[#This Row],[名前]]="","",(100+((VLOOKUP(RZS_S[[#This Row],[No用]],Q_Stat[],26,FALSE)-Statistics100!M$59)*5)/Statistics100!M$66))</f>
        <v>106.22605923257922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103.96758676585931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98.651020499607839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105.55462147220302</v>
      </c>
      <c r="K4" s="12">
        <f>IF(RZS_S[[#This Row],[名前]]="","",(100+((VLOOKUP(RZS_S[[#This Row],[No用]],Q_Stat[],15,FALSE)-Statistics100!D$59)*5)/Statistics100!D$66))</f>
        <v>103.96758676585931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Row],[名前]]="","",(100+((VLOOKUP(RZS_S[[#This Row],[No用]],Q_Stat[],17,FALSE)-Statistics100!F$59)*5)/Statistics100!F$66))</f>
        <v>100</v>
      </c>
      <c r="N4" s="12">
        <f>IF(RZS_S[[#This Row],[名前]]="","",(100+((VLOOKUP(RZS_S[[#This Row],[No用]],Q_Stat[],18,FALSE)-Statistics100!G$59)*5)/Statistics100!G$66))</f>
        <v>96.14577285602239</v>
      </c>
      <c r="O4" s="12">
        <f>IF(RZS_S[[#This Row],[名前]]="","",(100+((VLOOKUP(RZS_S[[#This Row],[No用]],Q_Stat[],19,FALSE)-Statistics100!H$59)*5)/Statistics100!H$66))</f>
        <v>110.11734625294123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97.302040999215677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102.40889196498601</v>
      </c>
      <c r="T4" s="12">
        <f>IF(RZS_S[[#This Row],[名前]]="","",(100+((VLOOKUP(RZS_S[[#This Row],[No用]],Q_Stat[],26,FALSE)-Statistics100!M$59)*5)/Statistics100!M$66))</f>
        <v>104.15070615505282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103.96758676585931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93.255102498039179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105.55462147220302</v>
      </c>
      <c r="K5" s="12">
        <f>IF(RZS_S[[#This Row],[名前]]="","",(100+((VLOOKUP(RZS_S[[#This Row],[No用]],Q_Stat[],15,FALSE)-Statistics100!D$59)*5)/Statistics100!D$66))</f>
        <v>106.34813882537489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Row],[名前]]="","",(100+((VLOOKUP(RZS_S[[#This Row],[No用]],Q_Stat[],17,FALSE)-Statistics100!F$59)*5)/Statistics100!F$66))</f>
        <v>100</v>
      </c>
      <c r="N5" s="12">
        <f>IF(RZS_S[[#This Row],[名前]]="","",(100+((VLOOKUP(RZS_S[[#This Row],[No用]],Q_Stat[],18,FALSE)-Statistics100!G$59)*5)/Statistics100!G$66))</f>
        <v>101.92711357198881</v>
      </c>
      <c r="O5" s="12">
        <f>IF(RZS_S[[#This Row],[名前]]="","",(100+((VLOOKUP(RZS_S[[#This Row],[No用]],Q_Stat[],19,FALSE)-Statistics100!H$59)*5)/Statistics100!H$66))</f>
        <v>106.74489750196082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97.302040999215677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104.81778392997201</v>
      </c>
      <c r="T5" s="12">
        <f>IF(RZS_S[[#This Row],[名前]]="","",(100+((VLOOKUP(RZS_S[[#This Row],[No用]],Q_Stat[],26,FALSE)-Statistics100!M$59)*5)/Statistics100!M$66))</f>
        <v>107.26373577134243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106.34813882537489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101.34897950039216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104.76110411903116</v>
      </c>
      <c r="K6" s="12">
        <f>IF(RZS_S[[#This Row],[名前]]="","",(100+((VLOOKUP(RZS_S[[#This Row],[No用]],Q_Stat[],15,FALSE)-Statistics100!D$59)*5)/Statistics100!D$66))</f>
        <v>105.55462147220302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Row],[名前]]="","",(100+((VLOOKUP(RZS_S[[#This Row],[No用]],Q_Stat[],17,FALSE)-Statistics100!F$59)*5)/Statistics100!F$66))</f>
        <v>100</v>
      </c>
      <c r="N6" s="12">
        <f>IF(RZS_S[[#This Row],[名前]]="","",(100+((VLOOKUP(RZS_S[[#This Row],[No用]],Q_Stat[],18,FALSE)-Statistics100!G$59)*5)/Statistics100!G$66))</f>
        <v>103.85422714397761</v>
      </c>
      <c r="O6" s="12">
        <f>IF(RZS_S[[#This Row],[名前]]="","",(100+((VLOOKUP(RZS_S[[#This Row],[No用]],Q_Stat[],19,FALSE)-Statistics100!H$59)*5)/Statistics100!H$66))</f>
        <v>106.74489750196082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97.302040999215677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104.81778392997201</v>
      </c>
      <c r="T6" s="12">
        <f>IF(RZS_S[[#This Row],[名前]]="","",(100+((VLOOKUP(RZS_S[[#This Row],[No用]],Q_Stat[],26,FALSE)-Statistics100!M$59)*5)/Statistics100!M$66))</f>
        <v>109.33908884886883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105.55462147220302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102.69795900078432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95.23889588096884</v>
      </c>
      <c r="K7" s="12">
        <f>IF(RZS_S[[#This Row],[名前]]="","",(100+((VLOOKUP(RZS_S[[#This Row],[No用]],Q_Stat[],15,FALSE)-Statistics100!D$59)*5)/Statistics100!D$66))</f>
        <v>97.61944794048442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Row],[名前]]="","",(100+((VLOOKUP(RZS_S[[#This Row],[No用]],Q_Stat[],17,FALSE)-Statistics100!F$59)*5)/Statistics100!F$66))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98.313775624509802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94.60408199843134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96.868440445518189</v>
      </c>
      <c r="T7" s="12">
        <f>IF(RZS_S[[#This Row],[名前]]="","",(100+((VLOOKUP(RZS_S[[#This Row],[No用]],Q_Stat[],26,FALSE)-Statistics100!M$59)*5)/Statistics100!M$66))</f>
        <v>96.886970383710391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97.61944794048442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97.302040999215677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97.61944794048442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Row],[名前]]="","",(100+((VLOOKUP(RZS_S[[#This Row],[No用]],Q_Stat[],17,FALSE)-Statistics100!F$59)*5)/Statistics100!F$66))</f>
        <v>100</v>
      </c>
      <c r="N8" s="12">
        <f>IF(RZS_S[[#This Row],[名前]]="","",(100+((VLOOKUP(RZS_S[[#This Row],[No用]],Q_Stat[],18,FALSE)-Statistics100!G$59)*5)/Statistics100!G$66))</f>
        <v>101.92711357198881</v>
      </c>
      <c r="O8" s="12">
        <f>IF(RZS_S[[#This Row],[名前]]="","",(100+((VLOOKUP(RZS_S[[#This Row],[No用]],Q_Stat[],19,FALSE)-Statistics100!H$59)*5)/Statistics100!H$66))</f>
        <v>100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97.302040999215677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100.2408891964986</v>
      </c>
      <c r="T8" s="12">
        <f>IF(RZS_S[[#This Row],[名前]]="","",(100+((VLOOKUP(RZS_S[[#This Row],[No用]],Q_Stat[],26,FALSE)-Statistics100!M$59)*5)/Statistics100!M$66))</f>
        <v>97.924646922473599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100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99.206482646828135</v>
      </c>
      <c r="K9" s="12">
        <f>IF(RZS_S[[#This Row],[名前]]="","",(100+((VLOOKUP(RZS_S[[#This Row],[No用]],Q_Stat[],15,FALSE)-Statistics100!D$59)*5)/Statistics100!D$66))</f>
        <v>99.206482646828135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Row],[名前]]="","",(100+((VLOOKUP(RZS_S[[#This Row],[No用]],Q_Stat[],17,FALSE)-Statistics100!F$59)*5)/Statistics100!F$66))</f>
        <v>100</v>
      </c>
      <c r="N9" s="12">
        <f>IF(RZS_S[[#This Row],[名前]]="","",(100+((VLOOKUP(RZS_S[[#This Row],[No用]],Q_Stat[],18,FALSE)-Statistics100!G$59)*5)/Statistics100!G$66))</f>
        <v>98.072886428011188</v>
      </c>
      <c r="O9" s="12">
        <f>IF(RZS_S[[#This Row],[名前]]="","",(100+((VLOOKUP(RZS_S[[#This Row],[No用]],Q_Stat[],19,FALSE)-Statistics100!H$59)*5)/Statistics100!H$66))</f>
        <v>101.6862243754902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100.2408891964986</v>
      </c>
      <c r="T9" s="12">
        <f>IF(RZS_S[[#This Row],[名前]]="","",(100+((VLOOKUP(RZS_S[[#This Row],[No用]],Q_Stat[],26,FALSE)-Statistics100!M$59)*5)/Statistics100!M$66))</f>
        <v>96.886970383710391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99.206482646828135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94.60408199843134</v>
      </c>
    </row>
    <row r="10" spans="1:24" x14ac:dyDescent="0.35">
      <c r="A10" t="str">
        <f>IFERROR(Q_S[[#This Row],[No.]],"")</f>
        <v>41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IF(RZS_S[[#This Row],[名前]]="","",(100+((VLOOKUP(RZS_S[[#This Row],[No用]],Q_Stat[],13,FALSE)-Statistics100!B$59)*5)/Statistics100!B$66))</f>
        <v>92.641929997860927</v>
      </c>
      <c r="J10" s="12">
        <f>IF(RZS_S[[#This Row],[名前]]="","",(100+((VLOOKUP(RZS_S[[#This Row],[No用]],Q_Stat[],14,FALSE)-Statistics100!C$59)*5)/Statistics100!C$66))</f>
        <v>95.23889588096884</v>
      </c>
      <c r="K10" s="12">
        <f>IF(RZS_S[[#This Row],[名前]]="","",(100+((VLOOKUP(RZS_S[[#This Row],[No用]],Q_Stat[],15,FALSE)-Statistics100!D$59)*5)/Statistics100!D$66))</f>
        <v>100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Row],[名前]]="","",(100+((VLOOKUP(RZS_S[[#This Row],[No用]],Q_Stat[],17,FALSE)-Statistics100!F$59)*5)/Statistics100!F$66))</f>
        <v>100</v>
      </c>
      <c r="N10" s="12">
        <f>IF(RZS_S[[#This Row],[名前]]="","",(100+((VLOOKUP(RZS_S[[#This Row],[No用]],Q_Stat[],18,FALSE)-Statistics100!G$59)*5)/Statistics100!G$66))</f>
        <v>94.218659284033578</v>
      </c>
      <c r="O10" s="12">
        <f>IF(RZS_S[[#This Row],[名前]]="","",(100+((VLOOKUP(RZS_S[[#This Row],[No用]],Q_Stat[],19,FALSE)-Statistics100!H$59)*5)/Statistics100!H$66))</f>
        <v>100</v>
      </c>
      <c r="P10" s="12">
        <f>IF(RZS_S[[#This Row],[名前]]="","",(100+((VLOOKUP(RZS_S[[#This Row],[No用]],Q_Stat[],20,FALSE)-Statistics100!I$59)*5)/Statistics100!I$66))</f>
        <v>89.882653747058768</v>
      </c>
      <c r="Q10" s="12">
        <f>IF(RZS_S[[#This Row],[名前]]="","",(100+((VLOOKUP(RZS_S[[#This Row],[No用]],Q_Stat[],21,FALSE)-Statistics100!J$59)*5)/Statistics100!J$66))</f>
        <v>94.60408199843134</v>
      </c>
      <c r="R10" s="12">
        <f>IF(RZS_S[[#This Row],[名前]]="","",(100+((VLOOKUP(RZS_S[[#This Row],[No用]],Q_Stat[],22,FALSE)-Statistics100!K$59)*5)/Statistics100!K$66))</f>
        <v>106.74489750196082</v>
      </c>
      <c r="S10" s="12">
        <f>IF(RZS_S[[#This Row],[名前]]="","",(100+((VLOOKUP(RZS_S[[#This Row],[No用]],Q_Stat[],25,FALSE)-Statistics100!L$59)*5)/Statistics100!L$66))</f>
        <v>96.38666205252099</v>
      </c>
      <c r="T10" s="12">
        <f>IF(RZS_S[[#This Row],[名前]]="","",(100+((VLOOKUP(RZS_S[[#This Row],[No用]],Q_Stat[],26,FALSE)-Statistics100!M$59)*5)/Statistics100!M$66))</f>
        <v>94.81161730618399</v>
      </c>
      <c r="U10" s="12">
        <f>IF(RZS_S[[#This Row],[名前]]="","",(100+((VLOOKUP(RZS_S[[#This Row],[No用]],Q_Stat[],27,FALSE)-Statistics100!N$59)*5)/Statistics100!N$66))</f>
        <v>98.443485191855189</v>
      </c>
      <c r="V10" s="12">
        <f>IF(RZS_S[[#This Row],[名前]]="","",(100+((VLOOKUP(RZS_S[[#This Row],[No用]],Q_Stat[],28,FALSE)-Statistics100!O$59)*5)/Statistics100!O$66))</f>
        <v>100</v>
      </c>
      <c r="W10" s="12">
        <f>IF(RZS_S[[#This Row],[名前]]="","",(100+((VLOOKUP(RZS_S[[#This Row],[No用]],Q_Stat[],29,FALSE)-Statistics100!P$59)*5)/Statistics100!P$66))</f>
        <v>95.953061498823502</v>
      </c>
      <c r="X10" s="12">
        <f>IF(RZS_S[[#This Row],[名前]]="","",(100+((VLOOKUP(RZS_S[[#This Row],[No用]],Q_Stat[],30,FALSE)-Statistics100!Q$59)*5)/Statistics100!Q$66))</f>
        <v>90.557143497254856</v>
      </c>
    </row>
    <row r="11" spans="1:24" x14ac:dyDescent="0.35">
      <c r="A11" t="str">
        <f>IFERROR(Q_S[[#This Row],[No.]],"")</f>
        <v>42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IF(RZS_S[[#This Row],[名前]]="","",(100+((VLOOKUP(RZS_S[[#This Row],[No用]],Q_Stat[],13,FALSE)-Statistics100!B$59)*5)/Statistics100!B$66))</f>
        <v>93.86827499821743</v>
      </c>
      <c r="J11" s="12">
        <f>IF(RZS_S[[#This Row],[名前]]="","",(100+((VLOOKUP(RZS_S[[#This Row],[No用]],Q_Stat[],14,FALSE)-Statistics100!C$59)*5)/Statistics100!C$66))</f>
        <v>97.61944794048442</v>
      </c>
      <c r="K11" s="12">
        <f>IF(RZS_S[[#This Row],[名前]]="","",(100+((VLOOKUP(RZS_S[[#This Row],[No用]],Q_Stat[],15,FALSE)-Statistics100!D$59)*5)/Statistics100!D$66))</f>
        <v>102.38055205951558</v>
      </c>
      <c r="L11" s="12">
        <f>IF(RZS_S[[#This Row],[名前]]="","",(100+((VLOOKUP(RZS_S[[#This Row],[No用]],Q_Stat[],16,FALSE)-Statistics100!E$59)*5)/Statistics100!E$66))</f>
        <v>108.09387700235298</v>
      </c>
      <c r="M11" s="12">
        <f>IF(RZS_S[[#This Row],[名前]]="","",(100+((VLOOKUP(RZS_S[[#This Row],[No用]],Q_Stat[],17,FALSE)-Statistics100!F$59)*5)/Statistics100!F$66))</f>
        <v>100</v>
      </c>
      <c r="N11" s="12">
        <f>IF(RZS_S[[#This Row],[名前]]="","",(100+((VLOOKUP(RZS_S[[#This Row],[No用]],Q_Stat[],18,FALSE)-Statistics100!G$59)*5)/Statistics100!G$66))</f>
        <v>96.14577285602239</v>
      </c>
      <c r="O11" s="12">
        <f>IF(RZS_S[[#This Row],[名前]]="","",(100+((VLOOKUP(RZS_S[[#This Row],[No用]],Q_Stat[],19,FALSE)-Statistics100!H$59)*5)/Statistics100!H$66))</f>
        <v>101.6862243754902</v>
      </c>
      <c r="P11" s="12">
        <f>IF(RZS_S[[#This Row],[名前]]="","",(100+((VLOOKUP(RZS_S[[#This Row],[No用]],Q_Stat[],20,FALSE)-Statistics100!I$59)*5)/Statistics100!I$66))</f>
        <v>93.255102498039179</v>
      </c>
      <c r="Q11" s="12">
        <f>IF(RZS_S[[#This Row],[名前]]="","",(100+((VLOOKUP(RZS_S[[#This Row],[No用]],Q_Stat[],21,FALSE)-Statistics100!J$59)*5)/Statistics100!J$66))</f>
        <v>97.302040999215677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99.7591108035014</v>
      </c>
      <c r="T11" s="12">
        <f>IF(RZS_S[[#This Row],[名前]]="","",(100+((VLOOKUP(RZS_S[[#This Row],[No用]],Q_Stat[],26,FALSE)-Statistics100!M$59)*5)/Statistics100!M$66))</f>
        <v>95.849293844947184</v>
      </c>
      <c r="U11" s="12">
        <f>IF(RZS_S[[#This Row],[名前]]="","",(100+((VLOOKUP(RZS_S[[#This Row],[No用]],Q_Stat[],27,FALSE)-Statistics100!N$59)*5)/Statistics100!N$66))</f>
        <v>101.55651480814481</v>
      </c>
      <c r="V11" s="12">
        <f>IF(RZS_S[[#This Row],[名前]]="","",(100+((VLOOKUP(RZS_S[[#This Row],[No用]],Q_Stat[],28,FALSE)-Statistics100!O$59)*5)/Statistics100!O$66))</f>
        <v>102.38055205951558</v>
      </c>
      <c r="W11" s="12">
        <f>IF(RZS_S[[#This Row],[名前]]="","",(100+((VLOOKUP(RZS_S[[#This Row],[No用]],Q_Stat[],29,FALSE)-Statistics100!P$59)*5)/Statistics100!P$66))</f>
        <v>98.651020499607839</v>
      </c>
      <c r="X11" s="12">
        <f>IF(RZS_S[[#This Row],[名前]]="","",(100+((VLOOKUP(RZS_S[[#This Row],[No用]],Q_Stat[],30,FALSE)-Statistics100!Q$59)*5)/Statistics100!Q$66))</f>
        <v>93.255102498039179</v>
      </c>
    </row>
    <row r="12" spans="1:24" x14ac:dyDescent="0.35">
      <c r="A12" t="str">
        <f>IFERROR(Q_S[[#This Row],[No.]],"")</f>
        <v>43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IF(RZS_S[[#This Row],[名前]]="","",(100+((VLOOKUP(RZS_S[[#This Row],[No用]],Q_Stat[],13,FALSE)-Statistics100!B$59)*5)/Statistics100!B$66))</f>
        <v>91.415584997504411</v>
      </c>
      <c r="J12" s="12">
        <f>IF(RZS_S[[#This Row],[名前]]="","",(100+((VLOOKUP(RZS_S[[#This Row],[No用]],Q_Stat[],14,FALSE)-Statistics100!C$59)*5)/Statistics100!C$66))</f>
        <v>97.61944794048442</v>
      </c>
      <c r="K12" s="12">
        <f>IF(RZS_S[[#This Row],[名前]]="","",(100+((VLOOKUP(RZS_S[[#This Row],[No用]],Q_Stat[],15,FALSE)-Statistics100!D$59)*5)/Statistics100!D$66))</f>
        <v>103.96758676585931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Row],[名前]]="","",(100+((VLOOKUP(RZS_S[[#This Row],[No用]],Q_Stat[],17,FALSE)-Statistics100!F$59)*5)/Statistics100!F$66))</f>
        <v>100</v>
      </c>
      <c r="N12" s="12">
        <f>IF(RZS_S[[#This Row],[名前]]="","",(100+((VLOOKUP(RZS_S[[#This Row],[No用]],Q_Stat[],18,FALSE)-Statistics100!G$59)*5)/Statistics100!G$66))</f>
        <v>92.29154571204478</v>
      </c>
      <c r="O12" s="12">
        <f>IF(RZS_S[[#This Row],[名前]]="","",(100+((VLOOKUP(RZS_S[[#This Row],[No用]],Q_Stat[],19,FALSE)-Statistics100!H$59)*5)/Statistics100!H$66))</f>
        <v>105.05867312647061</v>
      </c>
      <c r="P12" s="12">
        <f>IF(RZS_S[[#This Row],[名前]]="","",(100+((VLOOKUP(RZS_S[[#This Row],[No用]],Q_Stat[],20,FALSE)-Statistics100!I$59)*5)/Statistics100!I$66))</f>
        <v>86.510204996078357</v>
      </c>
      <c r="Q12" s="12">
        <f>IF(RZS_S[[#This Row],[名前]]="","",(100+((VLOOKUP(RZS_S[[#This Row],[No用]],Q_Stat[],21,FALSE)-Statistics100!J$59)*5)/Statistics100!J$66))</f>
        <v>102.69795900078432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99.7591108035014</v>
      </c>
      <c r="T12" s="12">
        <f>IF(RZS_S[[#This Row],[名前]]="","",(100+((VLOOKUP(RZS_S[[#This Row],[No用]],Q_Stat[],26,FALSE)-Statistics100!M$59)*5)/Statistics100!M$66))</f>
        <v>93.773940767420783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103.96758676585931</v>
      </c>
      <c r="W12" s="12">
        <f>IF(RZS_S[[#This Row],[名前]]="","",(100+((VLOOKUP(RZS_S[[#This Row],[No用]],Q_Stat[],29,FALSE)-Statistics100!P$59)*5)/Statistics100!P$66))</f>
        <v>104.0469385011765</v>
      </c>
      <c r="X12" s="12">
        <f>IF(RZS_S[[#This Row],[名前]]="","",(100+((VLOOKUP(RZS_S[[#This Row],[No用]],Q_Stat[],30,FALSE)-Statistics100!Q$59)*5)/Statistics100!Q$66))</f>
        <v>87.859184496470533</v>
      </c>
    </row>
    <row r="13" spans="1:24" x14ac:dyDescent="0.35">
      <c r="A13" t="str">
        <f>IFERROR(Q_S[[#This Row],[No.]],"")</f>
        <v>44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IF(RZS_S[[#This Row],[名前]]="","",(100+((VLOOKUP(RZS_S[[#This Row],[No用]],Q_Stat[],13,FALSE)-Statistics100!B$59)*5)/Statistics100!B$66))</f>
        <v>95.094619998573947</v>
      </c>
      <c r="J13" s="12">
        <f>IF(RZS_S[[#This Row],[名前]]="","",(100+((VLOOKUP(RZS_S[[#This Row],[No用]],Q_Stat[],14,FALSE)-Statistics100!C$59)*5)/Statistics100!C$66))</f>
        <v>99.206482646828135</v>
      </c>
      <c r="K13" s="12">
        <f>IF(RZS_S[[#This Row],[名前]]="","",(100+((VLOOKUP(RZS_S[[#This Row],[No用]],Q_Stat[],15,FALSE)-Statistics100!D$59)*5)/Statistics100!D$66))</f>
        <v>104.76110411903116</v>
      </c>
      <c r="L13" s="12">
        <f>IF(RZS_S[[#This Row],[名前]]="","",(100+((VLOOKUP(RZS_S[[#This Row],[No用]],Q_Stat[],16,FALSE)-Statistics100!E$59)*5)/Statistics100!E$66))</f>
        <v>110.79183600313731</v>
      </c>
      <c r="M13" s="12">
        <f>IF(RZS_S[[#This Row],[名前]]="","",(100+((VLOOKUP(RZS_S[[#This Row],[No用]],Q_Stat[],17,FALSE)-Statistics100!F$59)*5)/Statistics100!F$66))</f>
        <v>100</v>
      </c>
      <c r="N13" s="12">
        <f>IF(RZS_S[[#This Row],[名前]]="","",(100+((VLOOKUP(RZS_S[[#This Row],[No用]],Q_Stat[],18,FALSE)-Statistics100!G$59)*5)/Statistics100!G$66))</f>
        <v>98.072886428011188</v>
      </c>
      <c r="O13" s="12">
        <f>IF(RZS_S[[#This Row],[名前]]="","",(100+((VLOOKUP(RZS_S[[#This Row],[No用]],Q_Stat[],19,FALSE)-Statistics100!H$59)*5)/Statistics100!H$66))</f>
        <v>101.6862243754902</v>
      </c>
      <c r="P13" s="12">
        <f>IF(RZS_S[[#This Row],[名前]]="","",(100+((VLOOKUP(RZS_S[[#This Row],[No用]],Q_Stat[],20,FALSE)-Statistics100!I$59)*5)/Statistics100!I$66))</f>
        <v>96.627551249019589</v>
      </c>
      <c r="Q13" s="12">
        <f>IF(RZS_S[[#This Row],[名前]]="","",(100+((VLOOKUP(RZS_S[[#This Row],[No用]],Q_Stat[],21,FALSE)-Statistics100!J$59)*5)/Statistics100!J$66))</f>
        <v>97.302040999215677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102.16800276848741</v>
      </c>
      <c r="T13" s="12">
        <f>IF(RZS_S[[#This Row],[名前]]="","",(100+((VLOOKUP(RZS_S[[#This Row],[No用]],Q_Stat[],26,FALSE)-Statistics100!M$59)*5)/Statistics100!M$66))</f>
        <v>96.886970383710391</v>
      </c>
      <c r="U13" s="12">
        <f>IF(RZS_S[[#This Row],[名前]]="","",(100+((VLOOKUP(RZS_S[[#This Row],[No用]],Q_Stat[],27,FALSE)-Statistics100!N$59)*5)/Statistics100!N$66))</f>
        <v>103.63186788567121</v>
      </c>
      <c r="V13" s="12">
        <f>IF(RZS_S[[#This Row],[名前]]="","",(100+((VLOOKUP(RZS_S[[#This Row],[No用]],Q_Stat[],28,FALSE)-Statistics100!O$59)*5)/Statistics100!O$66))</f>
        <v>104.76110411903116</v>
      </c>
      <c r="W13" s="12">
        <f>IF(RZS_S[[#This Row],[名前]]="","",(100+((VLOOKUP(RZS_S[[#This Row],[No用]],Q_Stat[],29,FALSE)-Statistics100!P$59)*5)/Statistics100!P$66))</f>
        <v>98.651020499607839</v>
      </c>
      <c r="X13" s="12">
        <f>IF(RZS_S[[#This Row],[名前]]="","",(100+((VLOOKUP(RZS_S[[#This Row],[No用]],Q_Stat[],30,FALSE)-Statistics100!Q$59)*5)/Statistics100!Q$66))</f>
        <v>95.953061498823502</v>
      </c>
    </row>
    <row r="14" spans="1:24" x14ac:dyDescent="0.35">
      <c r="A14" t="str">
        <f>IFERROR(Q_S[[#This Row],[No.]],"")</f>
        <v>70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IF(RZS_S[[#This Row],[名前]]="","",(100+((VLOOKUP(RZS_S[[#This Row],[No用]],Q_Stat[],13,FALSE)-Statistics100!B$59)*5)/Statistics100!B$66))</f>
        <v>100</v>
      </c>
      <c r="J14" s="12">
        <f>IF(RZS_S[[#This Row],[名前]]="","",(100+((VLOOKUP(RZS_S[[#This Row],[No用]],Q_Stat[],14,FALSE)-Statistics100!C$59)*5)/Statistics100!C$66))</f>
        <v>97.61944794048442</v>
      </c>
      <c r="K14" s="12">
        <f>IF(RZS_S[[#This Row],[名前]]="","",(100+((VLOOKUP(RZS_S[[#This Row],[No用]],Q_Stat[],15,FALSE)-Statistics100!D$59)*5)/Statistics100!D$66))</f>
        <v>96.825930587312556</v>
      </c>
      <c r="L14" s="12">
        <f>IF(RZS_S[[#This Row],[名前]]="","",(100+((VLOOKUP(RZS_S[[#This Row],[No用]],Q_Stat[],16,FALSE)-Statistics100!E$59)*5)/Statistics100!E$66))</f>
        <v>93.255102498039179</v>
      </c>
      <c r="M14" s="12">
        <f>IF(RZS_S[[#This Row],[名前]]="","",(100+((VLOOKUP(RZS_S[[#This Row],[No用]],Q_Stat[],17,FALSE)-Statistics100!F$59)*5)/Statistics100!F$66))</f>
        <v>86.510204996078357</v>
      </c>
      <c r="N14" s="12">
        <f>IF(RZS_S[[#This Row],[名前]]="","",(100+((VLOOKUP(RZS_S[[#This Row],[No用]],Q_Stat[],18,FALSE)-Statistics100!G$59)*5)/Statistics100!G$66))</f>
        <v>121.19824929187686</v>
      </c>
      <c r="O14" s="12">
        <f>IF(RZS_S[[#This Row],[名前]]="","",(100+((VLOOKUP(RZS_S[[#This Row],[No用]],Q_Stat[],19,FALSE)-Statistics100!H$59)*5)/Statistics100!H$66))</f>
        <v>98.313775624509802</v>
      </c>
      <c r="P14" s="12">
        <f>IF(RZS_S[[#This Row],[名前]]="","",(100+((VLOOKUP(RZS_S[[#This Row],[No用]],Q_Stat[],20,FALSE)-Statistics100!I$59)*5)/Statistics100!I$66))</f>
        <v>100</v>
      </c>
      <c r="Q14" s="12">
        <f>IF(RZS_S[[#This Row],[名前]]="","",(100+((VLOOKUP(RZS_S[[#This Row],[No用]],Q_Stat[],21,FALSE)-Statistics100!J$59)*5)/Statistics100!J$66))</f>
        <v>97.302040999215677</v>
      </c>
      <c r="R14" s="12">
        <f>IF(RZS_S[[#This Row],[名前]]="","",(100+((VLOOKUP(RZS_S[[#This Row],[No用]],Q_Stat[],22,FALSE)-Statistics100!K$59)*5)/Statistics100!K$66))</f>
        <v>90.557143497254856</v>
      </c>
      <c r="S14" s="12">
        <f>IF(RZS_S[[#This Row],[名前]]="","",(100+((VLOOKUP(RZS_S[[#This Row],[No用]],Q_Stat[],25,FALSE)-Statistics100!L$59)*5)/Statistics100!L$66))</f>
        <v>95.90488365952379</v>
      </c>
      <c r="T14" s="12">
        <f>IF(RZS_S[[#This Row],[名前]]="","",(100+((VLOOKUP(RZS_S[[#This Row],[No用]],Q_Stat[],26,FALSE)-Statistics100!M$59)*5)/Statistics100!M$66))</f>
        <v>96.886970383710391</v>
      </c>
      <c r="U14" s="12">
        <f>IF(RZS_S[[#This Row],[名前]]="","",(100+((VLOOKUP(RZS_S[[#This Row],[No用]],Q_Stat[],27,FALSE)-Statistics100!N$59)*5)/Statistics100!N$66))</f>
        <v>93.773940767420783</v>
      </c>
      <c r="V14" s="12">
        <f>IF(RZS_S[[#This Row],[名前]]="","",(100+((VLOOKUP(RZS_S[[#This Row],[No用]],Q_Stat[],28,FALSE)-Statistics100!O$59)*5)/Statistics100!O$66))</f>
        <v>96.825930587312556</v>
      </c>
      <c r="W14" s="12">
        <f>IF(RZS_S[[#This Row],[名前]]="","",(100+((VLOOKUP(RZS_S[[#This Row],[No用]],Q_Stat[],29,FALSE)-Statistics100!P$59)*5)/Statistics100!P$66))</f>
        <v>95.953061498823502</v>
      </c>
      <c r="X14" s="12">
        <f>IF(RZS_S[[#This Row],[名前]]="","",(100+((VLOOKUP(RZS_S[[#This Row],[No用]],Q_Stat[],30,FALSE)-Statistics100!Q$59)*5)/Statistics100!Q$66))</f>
        <v>113.48979500392164</v>
      </c>
    </row>
    <row r="15" spans="1:24" x14ac:dyDescent="0.35">
      <c r="A15" t="str">
        <f>IFERROR(Q_S[[#This Row],[No.]],"")</f>
        <v>71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IF(RZS_S[[#This Row],[名前]]="","",(100+((VLOOKUP(RZS_S[[#This Row],[No用]],Q_Stat[],13,FALSE)-Statistics100!B$59)*5)/Statistics100!B$66))</f>
        <v>101.22634500035652</v>
      </c>
      <c r="J15" s="12">
        <f>IF(RZS_S[[#This Row],[名前]]="","",(100+((VLOOKUP(RZS_S[[#This Row],[No用]],Q_Stat[],14,FALSE)-Statistics100!C$59)*5)/Statistics100!C$66))</f>
        <v>100</v>
      </c>
      <c r="K15" s="12">
        <f>IF(RZS_S[[#This Row],[名前]]="","",(100+((VLOOKUP(RZS_S[[#This Row],[No用]],Q_Stat[],15,FALSE)-Statistics100!D$59)*5)/Statistics100!D$66))</f>
        <v>99.206482646828135</v>
      </c>
      <c r="L15" s="12">
        <f>IF(RZS_S[[#This Row],[名前]]="","",(100+((VLOOKUP(RZS_S[[#This Row],[No用]],Q_Stat[],16,FALSE)-Statistics100!E$59)*5)/Statistics100!E$66))</f>
        <v>97.302040999215677</v>
      </c>
      <c r="M15" s="12">
        <f>IF(RZS_S[[#This Row],[名前]]="","",(100+((VLOOKUP(RZS_S[[#This Row],[No用]],Q_Stat[],17,FALSE)-Statistics100!F$59)*5)/Statistics100!F$66))</f>
        <v>86.510204996078357</v>
      </c>
      <c r="N15" s="12">
        <f>IF(RZS_S[[#This Row],[名前]]="","",(100+((VLOOKUP(RZS_S[[#This Row],[No用]],Q_Stat[],18,FALSE)-Statistics100!G$59)*5)/Statistics100!G$66))</f>
        <v>123.12536286386566</v>
      </c>
      <c r="O15" s="12">
        <f>IF(RZS_S[[#This Row],[名前]]="","",(100+((VLOOKUP(RZS_S[[#This Row],[No用]],Q_Stat[],19,FALSE)-Statistics100!H$59)*5)/Statistics100!H$66))</f>
        <v>100</v>
      </c>
      <c r="P15" s="12">
        <f>IF(RZS_S[[#This Row],[名前]]="","",(100+((VLOOKUP(RZS_S[[#This Row],[No用]],Q_Stat[],20,FALSE)-Statistics100!I$59)*5)/Statistics100!I$66))</f>
        <v>103.37244875098041</v>
      </c>
      <c r="Q15" s="12">
        <f>IF(RZS_S[[#This Row],[名前]]="","",(100+((VLOOKUP(RZS_S[[#This Row],[No用]],Q_Stat[],21,FALSE)-Statistics100!J$59)*5)/Statistics100!J$66))</f>
        <v>100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99.277332410504201</v>
      </c>
      <c r="T15" s="12">
        <f>IF(RZS_S[[#This Row],[名前]]="","",(100+((VLOOKUP(RZS_S[[#This Row],[No用]],Q_Stat[],26,FALSE)-Statistics100!M$59)*5)/Statistics100!M$66))</f>
        <v>97.924646922473599</v>
      </c>
      <c r="U15" s="12">
        <f>IF(RZS_S[[#This Row],[名前]]="","",(100+((VLOOKUP(RZS_S[[#This Row],[No用]],Q_Stat[],27,FALSE)-Statistics100!N$59)*5)/Statistics100!N$66))</f>
        <v>96.886970383710391</v>
      </c>
      <c r="V15" s="12">
        <f>IF(RZS_S[[#This Row],[名前]]="","",(100+((VLOOKUP(RZS_S[[#This Row],[No用]],Q_Stat[],28,FALSE)-Statistics100!O$59)*5)/Statistics100!O$66))</f>
        <v>99.206482646828135</v>
      </c>
      <c r="W15" s="12">
        <f>IF(RZS_S[[#This Row],[名前]]="","",(100+((VLOOKUP(RZS_S[[#This Row],[No用]],Q_Stat[],29,FALSE)-Statistics100!P$59)*5)/Statistics100!P$66))</f>
        <v>98.651020499607839</v>
      </c>
      <c r="X15" s="12">
        <f>IF(RZS_S[[#This Row],[名前]]="","",(100+((VLOOKUP(RZS_S[[#This Row],[No用]],Q_Stat[],30,FALSE)-Statistics100!Q$59)*5)/Statistics100!Q$66))</f>
        <v>116.18775400470597</v>
      </c>
    </row>
    <row r="16" spans="1:24" x14ac:dyDescent="0.35">
      <c r="A16" t="str">
        <f>IFERROR(Q_S[[#This Row],[No.]],"")</f>
        <v>72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IF(RZS_S[[#This Row],[名前]]="","",(100+((VLOOKUP(RZS_S[[#This Row],[No用]],Q_Stat[],13,FALSE)-Statistics100!B$59)*5)/Statistics100!B$66))</f>
        <v>103.67903500106954</v>
      </c>
      <c r="J16" s="12">
        <f>IF(RZS_S[[#This Row],[名前]]="","",(100+((VLOOKUP(RZS_S[[#This Row],[No用]],Q_Stat[],14,FALSE)-Statistics100!C$59)*5)/Statistics100!C$66))</f>
        <v>101.58703470634373</v>
      </c>
      <c r="K16" s="12">
        <f>IF(RZS_S[[#This Row],[名前]]="","",(100+((VLOOKUP(RZS_S[[#This Row],[No用]],Q_Stat[],15,FALSE)-Statistics100!D$59)*5)/Statistics100!D$66))</f>
        <v>99.206482646828135</v>
      </c>
      <c r="L16" s="12">
        <f>IF(RZS_S[[#This Row],[名前]]="","",(100+((VLOOKUP(RZS_S[[#This Row],[No用]],Q_Stat[],16,FALSE)-Statistics100!E$59)*5)/Statistics100!E$66))</f>
        <v>100</v>
      </c>
      <c r="M16" s="12">
        <f>IF(RZS_S[[#This Row],[名前]]="","",(100+((VLOOKUP(RZS_S[[#This Row],[No用]],Q_Stat[],17,FALSE)-Statistics100!F$59)*5)/Statistics100!F$66))</f>
        <v>86.510204996078357</v>
      </c>
      <c r="N16" s="12">
        <f>IF(RZS_S[[#This Row],[名前]]="","",(100+((VLOOKUP(RZS_S[[#This Row],[No用]],Q_Stat[],18,FALSE)-Statistics100!G$59)*5)/Statistics100!G$66))</f>
        <v>119.27113571988805</v>
      </c>
      <c r="O16" s="12">
        <f>IF(RZS_S[[#This Row],[名前]]="","",(100+((VLOOKUP(RZS_S[[#This Row],[No用]],Q_Stat[],19,FALSE)-Statistics100!H$59)*5)/Statistics100!H$66))</f>
        <v>96.627551249019589</v>
      </c>
      <c r="P16" s="12">
        <f>IF(RZS_S[[#This Row],[名前]]="","",(100+((VLOOKUP(RZS_S[[#This Row],[No用]],Q_Stat[],20,FALSE)-Statistics100!I$59)*5)/Statistics100!I$66))</f>
        <v>100</v>
      </c>
      <c r="Q16" s="12">
        <f>IF(RZS_S[[#This Row],[名前]]="","",(100+((VLOOKUP(RZS_S[[#This Row],[No用]],Q_Stat[],21,FALSE)-Statistics100!J$59)*5)/Statistics100!J$66))</f>
        <v>97.302040999215677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99.277332410504201</v>
      </c>
      <c r="T16" s="12">
        <f>IF(RZS_S[[#This Row],[名前]]="","",(100+((VLOOKUP(RZS_S[[#This Row],[No用]],Q_Stat[],26,FALSE)-Statistics100!M$59)*5)/Statistics100!M$66))</f>
        <v>100</v>
      </c>
      <c r="U16" s="12">
        <f>IF(RZS_S[[#This Row],[名前]]="","",(100+((VLOOKUP(RZS_S[[#This Row],[No用]],Q_Stat[],27,FALSE)-Statistics100!N$59)*5)/Statistics100!N$66))</f>
        <v>98.962323461236792</v>
      </c>
      <c r="V16" s="12">
        <f>IF(RZS_S[[#This Row],[名前]]="","",(100+((VLOOKUP(RZS_S[[#This Row],[No用]],Q_Stat[],28,FALSE)-Statistics100!O$59)*5)/Statistics100!O$66))</f>
        <v>99.206482646828135</v>
      </c>
      <c r="W16" s="12">
        <f>IF(RZS_S[[#This Row],[名前]]="","",(100+((VLOOKUP(RZS_S[[#This Row],[No用]],Q_Stat[],29,FALSE)-Statistics100!P$59)*5)/Statistics100!P$66))</f>
        <v>94.60408199843134</v>
      </c>
      <c r="X16" s="12">
        <f>IF(RZS_S[[#This Row],[名前]]="","",(100+((VLOOKUP(RZS_S[[#This Row],[No用]],Q_Stat[],30,FALSE)-Statistics100!Q$59)*5)/Statistics100!Q$66))</f>
        <v>112.14081550352947</v>
      </c>
    </row>
    <row r="17" spans="1:24" x14ac:dyDescent="0.35">
      <c r="A17" t="str">
        <f>IFERROR(Q_S[[#This Row],[No.]],"")</f>
        <v>77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IF(RZS_S[[#This Row],[名前]]="","",(100+((VLOOKUP(RZS_S[[#This Row],[No用]],Q_Stat[],13,FALSE)-Statistics100!B$59)*5)/Statistics100!B$66))</f>
        <v>95.094619998573947</v>
      </c>
      <c r="J17" s="12">
        <f>IF(RZS_S[[#This Row],[名前]]="","",(100+((VLOOKUP(RZS_S[[#This Row],[No用]],Q_Stat[],14,FALSE)-Statistics100!C$59)*5)/Statistics100!C$66))</f>
        <v>96.032413234140691</v>
      </c>
      <c r="K17" s="12">
        <f>IF(RZS_S[[#This Row],[名前]]="","",(100+((VLOOKUP(RZS_S[[#This Row],[No用]],Q_Stat[],15,FALSE)-Statistics100!D$59)*5)/Statistics100!D$66))</f>
        <v>95.23889588096884</v>
      </c>
      <c r="L17" s="12">
        <f>IF(RZS_S[[#This Row],[名前]]="","",(100+((VLOOKUP(RZS_S[[#This Row],[No用]],Q_Stat[],16,FALSE)-Statistics100!E$59)*5)/Statistics100!E$66))</f>
        <v>91.906122997647017</v>
      </c>
      <c r="M17" s="12">
        <f>IF(RZS_S[[#This Row],[名前]]="","",(100+((VLOOKUP(RZS_S[[#This Row],[No用]],Q_Stat[],17,FALSE)-Statistics100!F$59)*5)/Statistics100!F$66))</f>
        <v>86.510204996078357</v>
      </c>
      <c r="N17" s="12">
        <f>IF(RZS_S[[#This Row],[名前]]="","",(100+((VLOOKUP(RZS_S[[#This Row],[No用]],Q_Stat[],18,FALSE)-Statistics100!G$59)*5)/Statistics100!G$66))</f>
        <v>103.85422714397761</v>
      </c>
      <c r="O17" s="12">
        <f>IF(RZS_S[[#This Row],[名前]]="","",(100+((VLOOKUP(RZS_S[[#This Row],[No用]],Q_Stat[],19,FALSE)-Statistics100!H$59)*5)/Statistics100!H$66))</f>
        <v>100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102.69795900078432</v>
      </c>
      <c r="R17" s="12">
        <f>IF(RZS_S[[#This Row],[名前]]="","",(100+((VLOOKUP(RZS_S[[#This Row],[No用]],Q_Stat[],22,FALSE)-Statistics100!K$59)*5)/Statistics100!K$66))</f>
        <v>100</v>
      </c>
      <c r="S17" s="12">
        <f>IF(RZS_S[[#This Row],[名前]]="","",(100+((VLOOKUP(RZS_S[[#This Row],[No用]],Q_Stat[],25,FALSE)-Statistics100!L$59)*5)/Statistics100!L$66))</f>
        <v>93.977770087534978</v>
      </c>
      <c r="T17" s="12">
        <f>IF(RZS_S[[#This Row],[名前]]="","",(100+((VLOOKUP(RZS_S[[#This Row],[No用]],Q_Stat[],26,FALSE)-Statistics100!M$59)*5)/Statistics100!M$66))</f>
        <v>92.736264228657575</v>
      </c>
      <c r="U17" s="12">
        <f>IF(RZS_S[[#This Row],[名前]]="","",(100+((VLOOKUP(RZS_S[[#This Row],[No用]],Q_Stat[],27,FALSE)-Statistics100!N$59)*5)/Statistics100!N$66))</f>
        <v>92.217425959275971</v>
      </c>
      <c r="V17" s="12">
        <f>IF(RZS_S[[#This Row],[名前]]="","",(100+((VLOOKUP(RZS_S[[#This Row],[No用]],Q_Stat[],28,FALSE)-Statistics100!O$59)*5)/Statistics100!O$66))</f>
        <v>95.23889588096884</v>
      </c>
      <c r="W17" s="12">
        <f>IF(RZS_S[[#This Row],[名前]]="","",(100+((VLOOKUP(RZS_S[[#This Row],[No用]],Q_Stat[],29,FALSE)-Statistics100!P$59)*5)/Statistics100!P$66))</f>
        <v>100</v>
      </c>
      <c r="X17" s="12">
        <f>IF(RZS_S[[#This Row],[名前]]="","",(100+((VLOOKUP(RZS_S[[#This Row],[No用]],Q_Stat[],30,FALSE)-Statistics100!Q$59)*5)/Statistics100!Q$66))</f>
        <v>101.34897950039216</v>
      </c>
    </row>
    <row r="18" spans="1:24" x14ac:dyDescent="0.35">
      <c r="A18" t="str">
        <f>IFERROR(Q_S[[#This Row],[No.]],"")</f>
        <v>80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IF(RZS_S[[#This Row],[名前]]="","",(100+((VLOOKUP(RZS_S[[#This Row],[No用]],Q_Stat[],13,FALSE)-Statistics100!B$59)*5)/Statistics100!B$66))</f>
        <v>109.81076000285211</v>
      </c>
      <c r="J18" s="12">
        <f>IF(RZS_S[[#This Row],[名前]]="","",(100+((VLOOKUP(RZS_S[[#This Row],[No用]],Q_Stat[],14,FALSE)-Statistics100!C$59)*5)/Statistics100!C$66))</f>
        <v>104.76110411903116</v>
      </c>
      <c r="K18" s="12">
        <f>IF(RZS_S[[#This Row],[名前]]="","",(100+((VLOOKUP(RZS_S[[#This Row],[No用]],Q_Stat[],15,FALSE)-Statistics100!D$59)*5)/Statistics100!D$66))</f>
        <v>101.58703470634373</v>
      </c>
      <c r="L18" s="12">
        <f>IF(RZS_S[[#This Row],[名前]]="","",(100+((VLOOKUP(RZS_S[[#This Row],[No用]],Q_Stat[],16,FALSE)-Statistics100!E$59)*5)/Statistics100!E$66))</f>
        <v>101.34897950039216</v>
      </c>
      <c r="M18" s="12">
        <f>IF(RZS_S[[#This Row],[名前]]="","",(100+((VLOOKUP(RZS_S[[#This Row],[No用]],Q_Stat[],17,FALSE)-Statistics100!F$59)*5)/Statistics100!F$66))</f>
        <v>100</v>
      </c>
      <c r="N18" s="12">
        <f>IF(RZS_S[[#This Row],[名前]]="","",(100+((VLOOKUP(RZS_S[[#This Row],[No用]],Q_Stat[],18,FALSE)-Statistics100!G$59)*5)/Statistics100!G$66))</f>
        <v>96.14577285602239</v>
      </c>
      <c r="O18" s="12">
        <f>IF(RZS_S[[#This Row],[名前]]="","",(100+((VLOOKUP(RZS_S[[#This Row],[No用]],Q_Stat[],19,FALSE)-Statistics100!H$59)*5)/Statistics100!H$66))</f>
        <v>96.627551249019589</v>
      </c>
      <c r="P18" s="12">
        <f>IF(RZS_S[[#This Row],[名前]]="","",(100+((VLOOKUP(RZS_S[[#This Row],[No用]],Q_Stat[],20,FALSE)-Statistics100!I$59)*5)/Statistics100!I$66))</f>
        <v>96.627551249019589</v>
      </c>
      <c r="Q18" s="12">
        <f>IF(RZS_S[[#This Row],[名前]]="","",(100+((VLOOKUP(RZS_S[[#This Row],[No用]],Q_Stat[],21,FALSE)-Statistics100!J$59)*5)/Statistics100!J$66))</f>
        <v>94.60408199843134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101.6862243754902</v>
      </c>
      <c r="T18" s="12">
        <f>IF(RZS_S[[#This Row],[名前]]="","",(100+((VLOOKUP(RZS_S[[#This Row],[No用]],Q_Stat[],26,FALSE)-Statistics100!M$59)*5)/Statistics100!M$66))</f>
        <v>109.33908884886883</v>
      </c>
      <c r="U18" s="12">
        <f>IF(RZS_S[[#This Row],[名前]]="","",(100+((VLOOKUP(RZS_S[[#This Row],[No用]],Q_Stat[],27,FALSE)-Statistics100!N$59)*5)/Statistics100!N$66))</f>
        <v>103.63186788567121</v>
      </c>
      <c r="V18" s="12">
        <f>IF(RZS_S[[#This Row],[名前]]="","",(100+((VLOOKUP(RZS_S[[#This Row],[No用]],Q_Stat[],28,FALSE)-Statistics100!O$59)*5)/Statistics100!O$66))</f>
        <v>101.58703470634373</v>
      </c>
      <c r="W18" s="12">
        <f>IF(RZS_S[[#This Row],[名前]]="","",(100+((VLOOKUP(RZS_S[[#This Row],[No用]],Q_Stat[],29,FALSE)-Statistics100!P$59)*5)/Statistics100!P$66))</f>
        <v>93.255102498039179</v>
      </c>
      <c r="X18" s="12">
        <f>IF(RZS_S[[#This Row],[名前]]="","",(100+((VLOOKUP(RZS_S[[#This Row],[No用]],Q_Stat[],30,FALSE)-Statistics100!Q$59)*5)/Statistics100!Q$66))</f>
        <v>94.60408199843134</v>
      </c>
    </row>
    <row r="19" spans="1:24" x14ac:dyDescent="0.35">
      <c r="A19" t="str">
        <f>IFERROR(Q_S[[#This Row],[No.]],"")</f>
        <v>81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IF(RZS_S[[#This Row],[名前]]="","",(100+((VLOOKUP(RZS_S[[#This Row],[No用]],Q_Stat[],13,FALSE)-Statistics100!B$59)*5)/Statistics100!B$66))</f>
        <v>111.03710500320861</v>
      </c>
      <c r="J19" s="12">
        <f>IF(RZS_S[[#This Row],[名前]]="","",(100+((VLOOKUP(RZS_S[[#This Row],[No用]],Q_Stat[],14,FALSE)-Statistics100!C$59)*5)/Statistics100!C$66))</f>
        <v>107.14165617854675</v>
      </c>
      <c r="K19" s="12">
        <f>IF(RZS_S[[#This Row],[名前]]="","",(100+((VLOOKUP(RZS_S[[#This Row],[No用]],Q_Stat[],15,FALSE)-Statistics100!D$59)*5)/Statistics100!D$66))</f>
        <v>103.96758676585931</v>
      </c>
      <c r="L19" s="12">
        <f>IF(RZS_S[[#This Row],[名前]]="","",(100+((VLOOKUP(RZS_S[[#This Row],[No用]],Q_Stat[],16,FALSE)-Statistics100!E$59)*5)/Statistics100!E$66))</f>
        <v>105.39591800156866</v>
      </c>
      <c r="M19" s="12">
        <f>IF(RZS_S[[#This Row],[名前]]="","",(100+((VLOOKUP(RZS_S[[#This Row],[No用]],Q_Stat[],17,FALSE)-Statistics100!F$59)*5)/Statistics100!F$66))</f>
        <v>100</v>
      </c>
      <c r="N19" s="12">
        <f>IF(RZS_S[[#This Row],[名前]]="","",(100+((VLOOKUP(RZS_S[[#This Row],[No用]],Q_Stat[],18,FALSE)-Statistics100!G$59)*5)/Statistics100!G$66))</f>
        <v>98.072886428011188</v>
      </c>
      <c r="O19" s="12">
        <f>IF(RZS_S[[#This Row],[名前]]="","",(100+((VLOOKUP(RZS_S[[#This Row],[No用]],Q_Stat[],19,FALSE)-Statistics100!H$59)*5)/Statistics100!H$66))</f>
        <v>98.313775624509802</v>
      </c>
      <c r="P19" s="12">
        <f>IF(RZS_S[[#This Row],[名前]]="","",(100+((VLOOKUP(RZS_S[[#This Row],[No用]],Q_Stat[],20,FALSE)-Statistics100!I$59)*5)/Statistics100!I$66))</f>
        <v>100</v>
      </c>
      <c r="Q19" s="12">
        <f>IF(RZS_S[[#This Row],[名前]]="","",(100+((VLOOKUP(RZS_S[[#This Row],[No用]],Q_Stat[],21,FALSE)-Statistics100!J$59)*5)/Statistics100!J$66))</f>
        <v>97.302040999215677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105.05867312647061</v>
      </c>
      <c r="T19" s="12">
        <f>IF(RZS_S[[#This Row],[名前]]="","",(100+((VLOOKUP(RZS_S[[#This Row],[No用]],Q_Stat[],26,FALSE)-Statistics100!M$59)*5)/Statistics100!M$66))</f>
        <v>110.37676538763203</v>
      </c>
      <c r="U19" s="12">
        <f>IF(RZS_S[[#This Row],[名前]]="","",(100+((VLOOKUP(RZS_S[[#This Row],[No用]],Q_Stat[],27,FALSE)-Statistics100!N$59)*5)/Statistics100!N$66))</f>
        <v>106.74489750196082</v>
      </c>
      <c r="V19" s="12">
        <f>IF(RZS_S[[#This Row],[名前]]="","",(100+((VLOOKUP(RZS_S[[#This Row],[No用]],Q_Stat[],28,FALSE)-Statistics100!O$59)*5)/Statistics100!O$66))</f>
        <v>103.96758676585931</v>
      </c>
      <c r="W19" s="12">
        <f>IF(RZS_S[[#This Row],[名前]]="","",(100+((VLOOKUP(RZS_S[[#This Row],[No用]],Q_Stat[],29,FALSE)-Statistics100!P$59)*5)/Statistics100!P$66))</f>
        <v>95.953061498823502</v>
      </c>
      <c r="X19" s="12">
        <f>IF(RZS_S[[#This Row],[名前]]="","",(100+((VLOOKUP(RZS_S[[#This Row],[No用]],Q_Stat[],30,FALSE)-Statistics100!Q$59)*5)/Statistics100!Q$66))</f>
        <v>97.302040999215677</v>
      </c>
    </row>
    <row r="20" spans="1:24" x14ac:dyDescent="0.35">
      <c r="A20" t="str">
        <f>IFERROR(Q_S[[#This Row],[No.]],"")</f>
        <v>82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IF(RZS_S[[#This Row],[名前]]="","",(100+((VLOOKUP(RZS_S[[#This Row],[No用]],Q_Stat[],13,FALSE)-Statistics100!B$59)*5)/Statistics100!B$66))</f>
        <v>113.48979500392164</v>
      </c>
      <c r="J20" s="12">
        <f>IF(RZS_S[[#This Row],[名前]]="","",(100+((VLOOKUP(RZS_S[[#This Row],[No用]],Q_Stat[],14,FALSE)-Statistics100!C$59)*5)/Statistics100!C$66))</f>
        <v>104.76110411903116</v>
      </c>
      <c r="K20" s="12">
        <f>IF(RZS_S[[#This Row],[名前]]="","",(100+((VLOOKUP(RZS_S[[#This Row],[No用]],Q_Stat[],15,FALSE)-Statistics100!D$59)*5)/Statistics100!D$66))</f>
        <v>106.34813882537489</v>
      </c>
      <c r="L20" s="12">
        <f>IF(RZS_S[[#This Row],[名前]]="","",(100+((VLOOKUP(RZS_S[[#This Row],[No用]],Q_Stat[],16,FALSE)-Statistics100!E$59)*5)/Statistics100!E$66))</f>
        <v>101.34897950039216</v>
      </c>
      <c r="M20" s="12">
        <f>IF(RZS_S[[#This Row],[名前]]="","",(100+((VLOOKUP(RZS_S[[#This Row],[No用]],Q_Stat[],17,FALSE)-Statistics100!F$59)*5)/Statistics100!F$66))</f>
        <v>100</v>
      </c>
      <c r="N20" s="12">
        <f>IF(RZS_S[[#This Row],[名前]]="","",(100+((VLOOKUP(RZS_S[[#This Row],[No用]],Q_Stat[],18,FALSE)-Statistics100!G$59)*5)/Statistics100!G$66))</f>
        <v>103.85422714397761</v>
      </c>
      <c r="O20" s="12">
        <f>IF(RZS_S[[#This Row],[名前]]="","",(100+((VLOOKUP(RZS_S[[#This Row],[No用]],Q_Stat[],19,FALSE)-Statistics100!H$59)*5)/Statistics100!H$66))</f>
        <v>94.941326873529391</v>
      </c>
      <c r="P20" s="12">
        <f>IF(RZS_S[[#This Row],[名前]]="","",(100+((VLOOKUP(RZS_S[[#This Row],[No用]],Q_Stat[],20,FALSE)-Statistics100!I$59)*5)/Statistics100!I$66))</f>
        <v>110.11734625294123</v>
      </c>
      <c r="Q20" s="12">
        <f>IF(RZS_S[[#This Row],[名前]]="","",(100+((VLOOKUP(RZS_S[[#This Row],[No用]],Q_Stat[],21,FALSE)-Statistics100!J$59)*5)/Statistics100!J$66))</f>
        <v>91.906122997647017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105.29956232296922</v>
      </c>
      <c r="T20" s="12">
        <f>IF(RZS_S[[#This Row],[名前]]="","",(100+((VLOOKUP(RZS_S[[#This Row],[No用]],Q_Stat[],26,FALSE)-Statistics100!M$59)*5)/Statistics100!M$66))</f>
        <v>112.45211846515843</v>
      </c>
      <c r="U20" s="12">
        <f>IF(RZS_S[[#This Row],[名前]]="","",(100+((VLOOKUP(RZS_S[[#This Row],[No用]],Q_Stat[],27,FALSE)-Statistics100!N$59)*5)/Statistics100!N$66))</f>
        <v>103.63186788567121</v>
      </c>
      <c r="V20" s="12">
        <f>IF(RZS_S[[#This Row],[名前]]="","",(100+((VLOOKUP(RZS_S[[#This Row],[No用]],Q_Stat[],28,FALSE)-Statistics100!O$59)*5)/Statistics100!O$66))</f>
        <v>106.34813882537489</v>
      </c>
      <c r="W20" s="12">
        <f>IF(RZS_S[[#This Row],[名前]]="","",(100+((VLOOKUP(RZS_S[[#This Row],[No用]],Q_Stat[],29,FALSE)-Statistics100!P$59)*5)/Statistics100!P$66))</f>
        <v>90.557143497254856</v>
      </c>
      <c r="X20" s="12">
        <f>IF(RZS_S[[#This Row],[名前]]="","",(100+((VLOOKUP(RZS_S[[#This Row],[No用]],Q_Stat[],30,FALSE)-Statistics100!Q$59)*5)/Statistics100!Q$66))</f>
        <v>105.39591800156866</v>
      </c>
    </row>
    <row r="21" spans="1:24" x14ac:dyDescent="0.35">
      <c r="A21" t="str">
        <f>IFERROR(Q_S[[#This Row],[No.]],"")</f>
        <v>83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IF(RZS_S[[#This Row],[名前]]="","",(100+((VLOOKUP(RZS_S[[#This Row],[No用]],Q_Stat[],13,FALSE)-Statistics100!B$59)*5)/Statistics100!B$66))</f>
        <v>114.71614000427815</v>
      </c>
      <c r="J21" s="12">
        <f>IF(RZS_S[[#This Row],[名前]]="","",(100+((VLOOKUP(RZS_S[[#This Row],[No用]],Q_Stat[],14,FALSE)-Statistics100!C$59)*5)/Statistics100!C$66))</f>
        <v>104.76110411903116</v>
      </c>
      <c r="K21" s="12">
        <f>IF(RZS_S[[#This Row],[名前]]="","",(100+((VLOOKUP(RZS_S[[#This Row],[No用]],Q_Stat[],15,FALSE)-Statistics100!D$59)*5)/Statistics100!D$66))</f>
        <v>103.17406941268744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Row],[名前]]="","",(100+((VLOOKUP(RZS_S[[#This Row],[No用]],Q_Stat[],17,FALSE)-Statistics100!F$59)*5)/Statistics100!F$66))</f>
        <v>100</v>
      </c>
      <c r="N21" s="12">
        <f>IF(RZS_S[[#This Row],[名前]]="","",(100+((VLOOKUP(RZS_S[[#This Row],[No用]],Q_Stat[],18,FALSE)-Statistics100!G$59)*5)/Statistics100!G$66))</f>
        <v>101.92711357198881</v>
      </c>
      <c r="O21" s="12">
        <f>IF(RZS_S[[#This Row],[名前]]="","",(100+((VLOOKUP(RZS_S[[#This Row],[No用]],Q_Stat[],19,FALSE)-Statistics100!H$59)*5)/Statistics100!H$66))</f>
        <v>98.313775624509802</v>
      </c>
      <c r="P21" s="12">
        <f>IF(RZS_S[[#This Row],[名前]]="","",(100+((VLOOKUP(RZS_S[[#This Row],[No用]],Q_Stat[],20,FALSE)-Statistics100!I$59)*5)/Statistics100!I$66))</f>
        <v>106.74489750196082</v>
      </c>
      <c r="Q21" s="12">
        <f>IF(RZS_S[[#This Row],[名前]]="","",(100+((VLOOKUP(RZS_S[[#This Row],[No用]],Q_Stat[],21,FALSE)-Statistics100!J$59)*5)/Statistics100!J$66))</f>
        <v>97.302040999215677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105.05867312647061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103.17406941268744</v>
      </c>
      <c r="W21" s="12">
        <f>IF(RZS_S[[#This Row],[名前]]="","",(100+((VLOOKUP(RZS_S[[#This Row],[No用]],Q_Stat[],29,FALSE)-Statistics100!P$59)*5)/Statistics100!P$66))</f>
        <v>95.953061498823502</v>
      </c>
      <c r="X21" s="12">
        <f>IF(RZS_S[[#This Row],[名前]]="","",(100+((VLOOKUP(RZS_S[[#This Row],[No用]],Q_Stat[],30,FALSE)-Statistics100!Q$59)*5)/Statistics100!Q$66))</f>
        <v>102.69795900078432</v>
      </c>
    </row>
    <row r="22" spans="1:24" x14ac:dyDescent="0.35">
      <c r="A22" t="str">
        <f>IFERROR(Q_S[[#This Row],[No.]],"")</f>
        <v>84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IF(RZS_S[[#This Row],[名前]]="","",(100+((VLOOKUP(RZS_S[[#This Row],[No用]],Q_Stat[],13,FALSE)-Statistics100!B$59)*5)/Statistics100!B$66))</f>
        <v>112.26345000356513</v>
      </c>
      <c r="J22" s="12">
        <f>IF(RZS_S[[#This Row],[名前]]="","",(100+((VLOOKUP(RZS_S[[#This Row],[No用]],Q_Stat[],14,FALSE)-Statistics100!C$59)*5)/Statistics100!C$66))</f>
        <v>109.52220823806233</v>
      </c>
      <c r="K22" s="12">
        <f>IF(RZS_S[[#This Row],[名前]]="","",(100+((VLOOKUP(RZS_S[[#This Row],[No用]],Q_Stat[],15,FALSE)-Statistics100!D$59)*5)/Statistics100!D$66))</f>
        <v>105.55462147220302</v>
      </c>
      <c r="L22" s="12">
        <f>IF(RZS_S[[#This Row],[名前]]="","",(100+((VLOOKUP(RZS_S[[#This Row],[No用]],Q_Stat[],16,FALSE)-Statistics100!E$59)*5)/Statistics100!E$66))</f>
        <v>108.09387700235298</v>
      </c>
      <c r="M22" s="12">
        <f>IF(RZS_S[[#This Row],[名前]]="","",(100+((VLOOKUP(RZS_S[[#This Row],[No用]],Q_Stat[],17,FALSE)-Statistics100!F$59)*5)/Statistics100!F$66))</f>
        <v>100</v>
      </c>
      <c r="N22" s="12">
        <f>IF(RZS_S[[#This Row],[名前]]="","",(100+((VLOOKUP(RZS_S[[#This Row],[No用]],Q_Stat[],18,FALSE)-Statistics100!G$59)*5)/Statistics100!G$66))</f>
        <v>98.072886428011188</v>
      </c>
      <c r="O22" s="12">
        <f>IF(RZS_S[[#This Row],[名前]]="","",(100+((VLOOKUP(RZS_S[[#This Row],[No用]],Q_Stat[],19,FALSE)-Statistics100!H$59)*5)/Statistics100!H$66))</f>
        <v>100</v>
      </c>
      <c r="P22" s="12">
        <f>IF(RZS_S[[#This Row],[名前]]="","",(100+((VLOOKUP(RZS_S[[#This Row],[No用]],Q_Stat[],20,FALSE)-Statistics100!I$59)*5)/Statistics100!I$66))</f>
        <v>100</v>
      </c>
      <c r="Q22" s="12">
        <f>IF(RZS_S[[#This Row],[名前]]="","",(100+((VLOOKUP(RZS_S[[#This Row],[No用]],Q_Stat[],21,FALSE)-Statistics100!J$59)*5)/Statistics100!J$66))</f>
        <v>100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107.46756509145662</v>
      </c>
      <c r="T22" s="12">
        <f>IF(RZS_S[[#This Row],[名前]]="","",(100+((VLOOKUP(RZS_S[[#This Row],[No用]],Q_Stat[],26,FALSE)-Statistics100!M$59)*5)/Statistics100!M$66))</f>
        <v>111.41444192639523</v>
      </c>
      <c r="U22" s="12">
        <f>IF(RZS_S[[#This Row],[名前]]="","",(100+((VLOOKUP(RZS_S[[#This Row],[No用]],Q_Stat[],27,FALSE)-Statistics100!N$59)*5)/Statistics100!N$66))</f>
        <v>109.33908884886883</v>
      </c>
      <c r="V22" s="12">
        <f>IF(RZS_S[[#This Row],[名前]]="","",(100+((VLOOKUP(RZS_S[[#This Row],[No用]],Q_Stat[],28,FALSE)-Statistics100!O$59)*5)/Statistics100!O$66))</f>
        <v>105.55462147220302</v>
      </c>
      <c r="W22" s="12">
        <f>IF(RZS_S[[#This Row],[名前]]="","",(100+((VLOOKUP(RZS_S[[#This Row],[No用]],Q_Stat[],29,FALSE)-Statistics100!P$59)*5)/Statistics100!P$66))</f>
        <v>98.651020499607839</v>
      </c>
      <c r="X22" s="12">
        <f>IF(RZS_S[[#This Row],[名前]]="","",(100+((VLOOKUP(RZS_S[[#This Row],[No用]],Q_Stat[],30,FALSE)-Statistics100!Q$59)*5)/Statistics100!Q$66))</f>
        <v>97.302040999215677</v>
      </c>
    </row>
    <row r="23" spans="1:24" x14ac:dyDescent="0.35">
      <c r="A23" t="str">
        <f>IFERROR(Q_S[[#This Row],[No.]],"")</f>
        <v>101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IF(RZS_S[[#This Row],[名前]]="","",(100+((VLOOKUP(RZS_S[[#This Row],[No用]],Q_Stat[],13,FALSE)-Statistics100!B$59)*5)/Statistics100!B$66))</f>
        <v>98.773654999643483</v>
      </c>
      <c r="J23" s="12">
        <f>IF(RZS_S[[#This Row],[名前]]="","",(100+((VLOOKUP(RZS_S[[#This Row],[No用]],Q_Stat[],14,FALSE)-Statistics100!C$59)*5)/Statistics100!C$66))</f>
        <v>99.206482646828135</v>
      </c>
      <c r="K23" s="12">
        <f>IF(RZS_S[[#This Row],[名前]]="","",(100+((VLOOKUP(RZS_S[[#This Row],[No用]],Q_Stat[],15,FALSE)-Statistics100!D$59)*5)/Statistics100!D$66))</f>
        <v>96.825930587312556</v>
      </c>
      <c r="L23" s="12">
        <f>IF(RZS_S[[#This Row],[名前]]="","",(100+((VLOOKUP(RZS_S[[#This Row],[No用]],Q_Stat[],16,FALSE)-Statistics100!E$59)*5)/Statistics100!E$66))</f>
        <v>95.953061498823502</v>
      </c>
      <c r="M23" s="12">
        <f>IF(RZS_S[[#This Row],[名前]]="","",(100+((VLOOKUP(RZS_S[[#This Row],[No用]],Q_Stat[],17,FALSE)-Statistics100!F$59)*5)/Statistics100!F$66))</f>
        <v>100</v>
      </c>
      <c r="N23" s="12">
        <f>IF(RZS_S[[#This Row],[名前]]="","",(100+((VLOOKUP(RZS_S[[#This Row],[No用]],Q_Stat[],18,FALSE)-Statistics100!G$59)*5)/Statistics100!G$66))</f>
        <v>98.072886428011188</v>
      </c>
      <c r="O23" s="12">
        <f>IF(RZS_S[[#This Row],[名前]]="","",(100+((VLOOKUP(RZS_S[[#This Row],[No用]],Q_Stat[],19,FALSE)-Statistics100!H$59)*5)/Statistics100!H$66))</f>
        <v>100</v>
      </c>
      <c r="P23" s="12">
        <f>IF(RZS_S[[#This Row],[名前]]="","",(100+((VLOOKUP(RZS_S[[#This Row],[No用]],Q_Stat[],20,FALSE)-Statistics100!I$59)*5)/Statistics100!I$66))</f>
        <v>96.627551249019589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96.627551249019589</v>
      </c>
      <c r="T23" s="12">
        <f>IF(RZS_S[[#This Row],[名前]]="","",(100+((VLOOKUP(RZS_S[[#This Row],[No用]],Q_Stat[],26,FALSE)-Statistics100!M$59)*5)/Statistics100!M$66))</f>
        <v>100</v>
      </c>
      <c r="U23" s="12">
        <f>IF(RZS_S[[#This Row],[名前]]="","",(100+((VLOOKUP(RZS_S[[#This Row],[No用]],Q_Stat[],27,FALSE)-Statistics100!N$59)*5)/Statistics100!N$66))</f>
        <v>97.924646922473599</v>
      </c>
      <c r="V23" s="12">
        <f>IF(RZS_S[[#This Row],[名前]]="","",(100+((VLOOKUP(RZS_S[[#This Row],[No用]],Q_Stat[],28,FALSE)-Statistics100!O$59)*5)/Statistics100!O$66))</f>
        <v>96.825930587312556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95.953061498823502</v>
      </c>
    </row>
    <row r="24" spans="1:24" x14ac:dyDescent="0.35">
      <c r="A24" t="str">
        <f>IFERROR(Q_S[[#This Row],[No.]],"")</f>
        <v>106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IF(RZS_S[[#This Row],[名前]]="","",(100+((VLOOKUP(RZS_S[[#This Row],[No用]],Q_Stat[],13,FALSE)-Statistics100!B$59)*5)/Statistics100!B$66))</f>
        <v>101.22634500035652</v>
      </c>
      <c r="J24" s="12">
        <f>IF(RZS_S[[#This Row],[名前]]="","",(100+((VLOOKUP(RZS_S[[#This Row],[No用]],Q_Stat[],14,FALSE)-Statistics100!C$59)*5)/Statistics100!C$66))</f>
        <v>96.032413234140691</v>
      </c>
      <c r="K24" s="12">
        <f>IF(RZS_S[[#This Row],[名前]]="","",(100+((VLOOKUP(RZS_S[[#This Row],[No用]],Q_Stat[],15,FALSE)-Statistics100!D$59)*5)/Statistics100!D$66))</f>
        <v>95.23889588096884</v>
      </c>
      <c r="L24" s="12">
        <f>IF(RZS_S[[#This Row],[名前]]="","",(100+((VLOOKUP(RZS_S[[#This Row],[No用]],Q_Stat[],16,FALSE)-Statistics100!E$59)*5)/Statistics100!E$66))</f>
        <v>91.906122997647017</v>
      </c>
      <c r="M24" s="12">
        <f>IF(RZS_S[[#This Row],[名前]]="","",(100+((VLOOKUP(RZS_S[[#This Row],[No用]],Q_Stat[],17,FALSE)-Statistics100!F$59)*5)/Statistics100!F$66))</f>
        <v>86.510204996078357</v>
      </c>
      <c r="N24" s="12">
        <f>IF(RZS_S[[#This Row],[名前]]="","",(100+((VLOOKUP(RZS_S[[#This Row],[No用]],Q_Stat[],18,FALSE)-Statistics100!G$59)*5)/Statistics100!G$66))</f>
        <v>96.14577285602239</v>
      </c>
      <c r="O24" s="12">
        <f>IF(RZS_S[[#This Row],[名前]]="","",(100+((VLOOKUP(RZS_S[[#This Row],[No用]],Q_Stat[],19,FALSE)-Statistics100!H$59)*5)/Statistics100!H$66))</f>
        <v>94.941326873529391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94.60408199843134</v>
      </c>
      <c r="R24" s="12">
        <f>IF(RZS_S[[#This Row],[名前]]="","",(100+((VLOOKUP(RZS_S[[#This Row],[No用]],Q_Stat[],22,FALSE)-Statistics100!K$59)*5)/Statistics100!K$66))</f>
        <v>93.255102498039179</v>
      </c>
      <c r="S24" s="12">
        <f>IF(RZS_S[[#This Row],[名前]]="","",(100+((VLOOKUP(RZS_S[[#This Row],[No用]],Q_Stat[],25,FALSE)-Statistics100!L$59)*5)/Statistics100!L$66))</f>
        <v>91.327988926050381</v>
      </c>
      <c r="T24" s="12">
        <f>IF(RZS_S[[#This Row],[名前]]="","",(100+((VLOOKUP(RZS_S[[#This Row],[No用]],Q_Stat[],26,FALSE)-Statistics100!M$59)*5)/Statistics100!M$66))</f>
        <v>97.924646922473599</v>
      </c>
      <c r="U24" s="12">
        <f>IF(RZS_S[[#This Row],[名前]]="","",(100+((VLOOKUP(RZS_S[[#This Row],[No用]],Q_Stat[],27,FALSE)-Statistics100!N$59)*5)/Statistics100!N$66))</f>
        <v>92.217425959275971</v>
      </c>
      <c r="V24" s="12">
        <f>IF(RZS_S[[#This Row],[名前]]="","",(100+((VLOOKUP(RZS_S[[#This Row],[No用]],Q_Stat[],28,FALSE)-Statistics100!O$59)*5)/Statistics100!O$66))</f>
        <v>95.23889588096884</v>
      </c>
      <c r="W24" s="12">
        <f>IF(RZS_S[[#This Row],[名前]]="","",(100+((VLOOKUP(RZS_S[[#This Row],[No用]],Q_Stat[],29,FALSE)-Statistics100!P$59)*5)/Statistics100!P$66))</f>
        <v>91.906122997647017</v>
      </c>
      <c r="X24" s="12">
        <f>IF(RZS_S[[#This Row],[名前]]="","",(100+((VLOOKUP(RZS_S[[#This Row],[No用]],Q_Stat[],30,FALSE)-Statistics100!Q$59)*5)/Statistics100!Q$66))</f>
        <v>94.60408199843134</v>
      </c>
    </row>
    <row r="25" spans="1:24" x14ac:dyDescent="0.35">
      <c r="A25" t="str">
        <f>IFERROR(Q_S[[#This Row],[No.]],"")</f>
        <v>115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IF(RZS_S[[#This Row],[名前]]="","",(100+((VLOOKUP(RZS_S[[#This Row],[No用]],Q_Stat[],13,FALSE)-Statistics100!B$59)*5)/Statistics100!B$66))</f>
        <v>97.547309999286981</v>
      </c>
      <c r="J25" s="12">
        <f>IF(RZS_S[[#This Row],[名前]]="","",(100+((VLOOKUP(RZS_S[[#This Row],[No用]],Q_Stat[],14,FALSE)-Statistics100!C$59)*5)/Statistics100!C$66))</f>
        <v>95.23889588096884</v>
      </c>
      <c r="K25" s="12">
        <f>IF(RZS_S[[#This Row],[名前]]="","",(100+((VLOOKUP(RZS_S[[#This Row],[No用]],Q_Stat[],15,FALSE)-Statistics100!D$59)*5)/Statistics100!D$66))</f>
        <v>94.445378527796976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Row],[名前]]="","",(100+((VLOOKUP(RZS_S[[#This Row],[No用]],Q_Stat[],17,FALSE)-Statistics100!F$59)*5)/Statistics100!F$66))</f>
        <v>86.510204996078357</v>
      </c>
      <c r="N25" s="12">
        <f>IF(RZS_S[[#This Row],[名前]]="","",(100+((VLOOKUP(RZS_S[[#This Row],[No用]],Q_Stat[],18,FALSE)-Statistics100!G$59)*5)/Statistics100!G$66))</f>
        <v>101.92711357198881</v>
      </c>
      <c r="O25" s="12">
        <f>IF(RZS_S[[#This Row],[名前]]="","",(100+((VLOOKUP(RZS_S[[#This Row],[No用]],Q_Stat[],19,FALSE)-Statistics100!H$59)*5)/Statistics100!H$66))</f>
        <v>94.941326873529391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97.302040999215677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91.327988926050381</v>
      </c>
      <c r="T25" s="12">
        <f>IF(RZS_S[[#This Row],[名前]]="","",(100+((VLOOKUP(RZS_S[[#This Row],[No用]],Q_Stat[],26,FALSE)-Statistics100!M$59)*5)/Statistics100!M$66))</f>
        <v>94.81161730618399</v>
      </c>
      <c r="U25" s="12">
        <f>IF(RZS_S[[#This Row],[名前]]="","",(100+((VLOOKUP(RZS_S[[#This Row],[No用]],Q_Stat[],27,FALSE)-Statistics100!N$59)*5)/Statistics100!N$66))</f>
        <v>91.698587689894381</v>
      </c>
      <c r="V25" s="12">
        <f>IF(RZS_S[[#This Row],[名前]]="","",(100+((VLOOKUP(RZS_S[[#This Row],[No用]],Q_Stat[],28,FALSE)-Statistics100!O$59)*5)/Statistics100!O$66))</f>
        <v>94.445378527796976</v>
      </c>
      <c r="W25" s="12">
        <f>IF(RZS_S[[#This Row],[名前]]="","",(100+((VLOOKUP(RZS_S[[#This Row],[No用]],Q_Stat[],29,FALSE)-Statistics100!P$59)*5)/Statistics100!P$66))</f>
        <v>93.255102498039179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 t="str">
        <f>IFERROR(Q_S[[#This Row],[No.]],"")</f>
        <v>116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IF(RZS_S[[#This Row],[名前]]="","",(100+((VLOOKUP(RZS_S[[#This Row],[No用]],Q_Stat[],13,FALSE)-Statistics100!B$59)*5)/Statistics100!B$66))</f>
        <v>97.547309999286981</v>
      </c>
      <c r="J26" s="12">
        <f>IF(RZS_S[[#This Row],[名前]]="","",(100+((VLOOKUP(RZS_S[[#This Row],[No用]],Q_Stat[],14,FALSE)-Statistics100!C$59)*5)/Statistics100!C$66))</f>
        <v>99.206482646828135</v>
      </c>
      <c r="K26" s="12">
        <f>IF(RZS_S[[#This Row],[名前]]="","",(100+((VLOOKUP(RZS_S[[#This Row],[No用]],Q_Stat[],15,FALSE)-Statistics100!D$59)*5)/Statistics100!D$66))</f>
        <v>97.61944794048442</v>
      </c>
      <c r="L26" s="12">
        <f>IF(RZS_S[[#This Row],[名前]]="","",(100+((VLOOKUP(RZS_S[[#This Row],[No用]],Q_Stat[],16,FALSE)-Statistics100!E$59)*5)/Statistics100!E$66))</f>
        <v>95.953061498823502</v>
      </c>
      <c r="M26" s="12">
        <f>IF(RZS_S[[#This Row],[名前]]="","",(100+((VLOOKUP(RZS_S[[#This Row],[No用]],Q_Stat[],17,FALSE)-Statistics100!F$59)*5)/Statistics100!F$66))</f>
        <v>86.510204996078357</v>
      </c>
      <c r="N26" s="12">
        <f>IF(RZS_S[[#This Row],[名前]]="","",(100+((VLOOKUP(RZS_S[[#This Row],[No用]],Q_Stat[],18,FALSE)-Statistics100!G$59)*5)/Statistics100!G$66))</f>
        <v>105.78134071596642</v>
      </c>
      <c r="O26" s="12">
        <f>IF(RZS_S[[#This Row],[名前]]="","",(100+((VLOOKUP(RZS_S[[#This Row],[No用]],Q_Stat[],19,FALSE)-Statistics100!H$59)*5)/Statistics100!H$66))</f>
        <v>101.6862243754902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105.39591800156866</v>
      </c>
      <c r="R26" s="12">
        <f>IF(RZS_S[[#This Row],[名前]]="","",(100+((VLOOKUP(RZS_S[[#This Row],[No用]],Q_Stat[],22,FALSE)-Statistics100!K$59)*5)/Statistics100!K$66))</f>
        <v>100</v>
      </c>
      <c r="S26" s="12">
        <f>IF(RZS_S[[#This Row],[名前]]="","",(100+((VLOOKUP(RZS_S[[#This Row],[No用]],Q_Stat[],25,FALSE)-Statistics100!L$59)*5)/Statistics100!L$66))</f>
        <v>97.591108035013988</v>
      </c>
      <c r="T26" s="12">
        <f>IF(RZS_S[[#This Row],[名前]]="","",(100+((VLOOKUP(RZS_S[[#This Row],[No用]],Q_Stat[],26,FALSE)-Statistics100!M$59)*5)/Statistics100!M$66))</f>
        <v>94.81161730618399</v>
      </c>
      <c r="U26" s="12">
        <f>IF(RZS_S[[#This Row],[名前]]="","",(100+((VLOOKUP(RZS_S[[#This Row],[No用]],Q_Stat[],27,FALSE)-Statistics100!N$59)*5)/Statistics100!N$66))</f>
        <v>95.849293844947184</v>
      </c>
      <c r="V26" s="12">
        <f>IF(RZS_S[[#This Row],[名前]]="","",(100+((VLOOKUP(RZS_S[[#This Row],[No用]],Q_Stat[],28,FALSE)-Statistics100!O$59)*5)/Statistics100!O$66))</f>
        <v>97.61944794048442</v>
      </c>
      <c r="W26" s="12">
        <f>IF(RZS_S[[#This Row],[名前]]="","",(100+((VLOOKUP(RZS_S[[#This Row],[No用]],Q_Stat[],29,FALSE)-Statistics100!P$59)*5)/Statistics100!P$66))</f>
        <v>102.69795900078432</v>
      </c>
      <c r="X26" s="12">
        <f>IF(RZS_S[[#This Row],[名前]]="","",(100+((VLOOKUP(RZS_S[[#This Row],[No用]],Q_Stat[],30,FALSE)-Statistics100!Q$59)*5)/Statistics100!Q$66))</f>
        <v>102.69795900078432</v>
      </c>
    </row>
    <row r="27" spans="1:24" x14ac:dyDescent="0.35">
      <c r="A27" t="str">
        <f>IFERROR(Q_S[[#This Row],[No.]],"")</f>
        <v>117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IF(RZS_S[[#This Row],[名前]]="","",(100+((VLOOKUP(RZS_S[[#This Row],[No用]],Q_Stat[],13,FALSE)-Statistics100!B$59)*5)/Statistics100!B$66))</f>
        <v>102.45269000071302</v>
      </c>
      <c r="J27" s="12">
        <f>IF(RZS_S[[#This Row],[名前]]="","",(100+((VLOOKUP(RZS_S[[#This Row],[No用]],Q_Stat[],14,FALSE)-Statistics100!C$59)*5)/Statistics100!C$66))</f>
        <v>98.412965293656271</v>
      </c>
      <c r="K27" s="12">
        <f>IF(RZS_S[[#This Row],[名前]]="","",(100+((VLOOKUP(RZS_S[[#This Row],[No用]],Q_Stat[],15,FALSE)-Statistics100!D$59)*5)/Statistics100!D$66))</f>
        <v>96.032413234140691</v>
      </c>
      <c r="L27" s="12">
        <f>IF(RZS_S[[#This Row],[名前]]="","",(100+((VLOOKUP(RZS_S[[#This Row],[No用]],Q_Stat[],16,FALSE)-Statistics100!E$59)*5)/Statistics100!E$66))</f>
        <v>94.60408199843134</v>
      </c>
      <c r="M27" s="12">
        <f>IF(RZS_S[[#This Row],[名前]]="","",(100+((VLOOKUP(RZS_S[[#This Row],[No用]],Q_Stat[],17,FALSE)-Statistics100!F$59)*5)/Statistics100!F$66))</f>
        <v>100</v>
      </c>
      <c r="N27" s="12">
        <f>IF(RZS_S[[#This Row],[名前]]="","",(100+((VLOOKUP(RZS_S[[#This Row],[No用]],Q_Stat[],18,FALSE)-Statistics100!G$59)*5)/Statistics100!G$66))</f>
        <v>100</v>
      </c>
      <c r="O27" s="12">
        <f>IF(RZS_S[[#This Row],[名前]]="","",(100+((VLOOKUP(RZS_S[[#This Row],[No用]],Q_Stat[],19,FALSE)-Statistics100!H$59)*5)/Statistics100!H$66))</f>
        <v>98.313775624509802</v>
      </c>
      <c r="P27" s="12">
        <f>IF(RZS_S[[#This Row],[名前]]="","",(100+((VLOOKUP(RZS_S[[#This Row],[No用]],Q_Stat[],20,FALSE)-Statistics100!I$59)*5)/Statistics100!I$66))</f>
        <v>113.48979500392164</v>
      </c>
      <c r="Q27" s="12">
        <f>IF(RZS_S[[#This Row],[名前]]="","",(100+((VLOOKUP(RZS_S[[#This Row],[No用]],Q_Stat[],21,FALSE)-Statistics100!J$59)*5)/Statistics100!J$66))</f>
        <v>108.09387700235298</v>
      </c>
      <c r="R27" s="12">
        <f>IF(RZS_S[[#This Row],[名前]]="","",(100+((VLOOKUP(RZS_S[[#This Row],[No用]],Q_Stat[],22,FALSE)-Statistics100!K$59)*5)/Statistics100!K$66))</f>
        <v>106.74489750196082</v>
      </c>
      <c r="S27" s="12">
        <f>IF(RZS_S[[#This Row],[名前]]="","",(100+((VLOOKUP(RZS_S[[#This Row],[No用]],Q_Stat[],25,FALSE)-Statistics100!L$59)*5)/Statistics100!L$66))</f>
        <v>99.7591108035014</v>
      </c>
      <c r="T27" s="12">
        <f>IF(RZS_S[[#This Row],[名前]]="","",(100+((VLOOKUP(RZS_S[[#This Row],[No用]],Q_Stat[],26,FALSE)-Statistics100!M$59)*5)/Statistics100!M$66))</f>
        <v>103.11302961628961</v>
      </c>
      <c r="U27" s="12">
        <f>IF(RZS_S[[#This Row],[名前]]="","",(100+((VLOOKUP(RZS_S[[#This Row],[No用]],Q_Stat[],27,FALSE)-Statistics100!N$59)*5)/Statistics100!N$66))</f>
        <v>96.886970383710391</v>
      </c>
      <c r="V27" s="12">
        <f>IF(RZS_S[[#This Row],[名前]]="","",(100+((VLOOKUP(RZS_S[[#This Row],[No用]],Q_Stat[],28,FALSE)-Statistics100!O$59)*5)/Statistics100!O$66))</f>
        <v>96.032413234140691</v>
      </c>
      <c r="W27" s="12">
        <f>IF(RZS_S[[#This Row],[名前]]="","",(100+((VLOOKUP(RZS_S[[#This Row],[No用]],Q_Stat[],29,FALSE)-Statistics100!P$59)*5)/Statistics100!P$66))</f>
        <v>101.34897950039216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118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IF(RZS_S[[#This Row],[名前]]="","",(100+((VLOOKUP(RZS_S[[#This Row],[No用]],Q_Stat[],13,FALSE)-Statistics100!B$59)*5)/Statistics100!B$66))</f>
        <v>103.67903500106954</v>
      </c>
      <c r="J28" s="12">
        <f>IF(RZS_S[[#This Row],[名前]]="","",(100+((VLOOKUP(RZS_S[[#This Row],[No用]],Q_Stat[],14,FALSE)-Statistics100!C$59)*5)/Statistics100!C$66))</f>
        <v>100.79351735317186</v>
      </c>
      <c r="K28" s="12">
        <f>IF(RZS_S[[#This Row],[名前]]="","",(100+((VLOOKUP(RZS_S[[#This Row],[No用]],Q_Stat[],15,FALSE)-Statistics100!D$59)*5)/Statistics100!D$66))</f>
        <v>98.412965293656271</v>
      </c>
      <c r="L28" s="12">
        <f>IF(RZS_S[[#This Row],[名前]]="","",(100+((VLOOKUP(RZS_S[[#This Row],[No用]],Q_Stat[],16,FALSE)-Statistics100!E$59)*5)/Statistics100!E$66))</f>
        <v>98.651020499607839</v>
      </c>
      <c r="M28" s="12">
        <f>IF(RZS_S[[#This Row],[名前]]="","",(100+((VLOOKUP(RZS_S[[#This Row],[No用]],Q_Stat[],17,FALSE)-Statistics100!F$59)*5)/Statistics100!F$66))</f>
        <v>100</v>
      </c>
      <c r="N28" s="12">
        <f>IF(RZS_S[[#This Row],[名前]]="","",(100+((VLOOKUP(RZS_S[[#This Row],[No用]],Q_Stat[],18,FALSE)-Statistics100!G$59)*5)/Statistics100!G$66))</f>
        <v>101.92711357198881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116.86224375490205</v>
      </c>
      <c r="Q28" s="12">
        <f>IF(RZS_S[[#This Row],[名前]]="","",(100+((VLOOKUP(RZS_S[[#This Row],[No用]],Q_Stat[],21,FALSE)-Statistics100!J$59)*5)/Statistics100!J$66))</f>
        <v>110.79183600313731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103.13155955448181</v>
      </c>
      <c r="T28" s="12">
        <f>IF(RZS_S[[#This Row],[名前]]="","",(100+((VLOOKUP(RZS_S[[#This Row],[No用]],Q_Stat[],26,FALSE)-Statistics100!M$59)*5)/Statistics100!M$66))</f>
        <v>104.15070615505282</v>
      </c>
      <c r="U28" s="12">
        <f>IF(RZS_S[[#This Row],[名前]]="","",(100+((VLOOKUP(RZS_S[[#This Row],[No用]],Q_Stat[],27,FALSE)-Statistics100!N$59)*5)/Statistics100!N$66))</f>
        <v>100</v>
      </c>
      <c r="V28" s="12">
        <f>IF(RZS_S[[#This Row],[名前]]="","",(100+((VLOOKUP(RZS_S[[#This Row],[No用]],Q_Stat[],28,FALSE)-Statistics100!O$59)*5)/Statistics100!O$66))</f>
        <v>98.412965293656271</v>
      </c>
      <c r="W28" s="12">
        <f>IF(RZS_S[[#This Row],[名前]]="","",(100+((VLOOKUP(RZS_S[[#This Row],[No用]],Q_Stat[],29,FALSE)-Statistics100!P$59)*5)/Statistics100!P$66))</f>
        <v>104.0469385011765</v>
      </c>
      <c r="X28" s="12">
        <f>IF(RZS_S[[#This Row],[名前]]="","",(100+((VLOOKUP(RZS_S[[#This Row],[No用]],Q_Stat[],30,FALSE)-Statistics100!Q$59)*5)/Statistics100!Q$66))</f>
        <v>106.74489750196082</v>
      </c>
    </row>
    <row r="29" spans="1:24" x14ac:dyDescent="0.35">
      <c r="A29" t="str">
        <f>IFERROR(Q_S[[#This Row],[No.]],"")</f>
        <v>130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IF(RZS_S[[#This Row],[名前]]="","",(100+((VLOOKUP(RZS_S[[#This Row],[No用]],Q_Stat[],13,FALSE)-Statistics100!B$59)*5)/Statistics100!B$66))</f>
        <v>95.094619998573947</v>
      </c>
      <c r="J29" s="12">
        <f>IF(RZS_S[[#This Row],[名前]]="","",(100+((VLOOKUP(RZS_S[[#This Row],[No用]],Q_Stat[],14,FALSE)-Statistics100!C$59)*5)/Statistics100!C$66))</f>
        <v>94.445378527796976</v>
      </c>
      <c r="K29" s="12">
        <f>IF(RZS_S[[#This Row],[名前]]="","",(100+((VLOOKUP(RZS_S[[#This Row],[No用]],Q_Stat[],15,FALSE)-Statistics100!D$59)*5)/Statistics100!D$66))</f>
        <v>94.445378527796976</v>
      </c>
      <c r="L29" s="12">
        <f>IF(RZS_S[[#This Row],[名前]]="","",(100+((VLOOKUP(RZS_S[[#This Row],[No用]],Q_Stat[],16,FALSE)-Statistics100!E$59)*5)/Statistics100!E$66))</f>
        <v>91.906122997647017</v>
      </c>
      <c r="M29" s="12">
        <f>IF(RZS_S[[#This Row],[名前]]="","",(100+((VLOOKUP(RZS_S[[#This Row],[No用]],Q_Stat[],17,FALSE)-Statistics100!F$59)*5)/Statistics100!F$66))</f>
        <v>86.510204996078357</v>
      </c>
      <c r="N29" s="12">
        <f>IF(RZS_S[[#This Row],[名前]]="","",(100+((VLOOKUP(RZS_S[[#This Row],[No用]],Q_Stat[],18,FALSE)-Statistics100!G$59)*5)/Statistics100!G$66))</f>
        <v>101.92711357198881</v>
      </c>
      <c r="O29" s="12">
        <f>IF(RZS_S[[#This Row],[名前]]="","",(100+((VLOOKUP(RZS_S[[#This Row],[No用]],Q_Stat[],19,FALSE)-Statistics100!H$59)*5)/Statistics100!H$66))</f>
        <v>94.941326873529391</v>
      </c>
      <c r="P29" s="12">
        <f>IF(RZS_S[[#This Row],[名前]]="","",(100+((VLOOKUP(RZS_S[[#This Row],[No用]],Q_Stat[],20,FALSE)-Statistics100!I$59)*5)/Statistics100!I$66))</f>
        <v>100</v>
      </c>
      <c r="Q29" s="12">
        <f>IF(RZS_S[[#This Row],[名前]]="","",(100+((VLOOKUP(RZS_S[[#This Row],[No用]],Q_Stat[],21,FALSE)-Statistics100!J$59)*5)/Statistics100!J$66))</f>
        <v>100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93.255102498039179</v>
      </c>
      <c r="T29" s="12">
        <f>IF(RZS_S[[#This Row],[名前]]="","",(100+((VLOOKUP(RZS_S[[#This Row],[No用]],Q_Stat[],26,FALSE)-Statistics100!M$59)*5)/Statistics100!M$66))</f>
        <v>92.736264228657575</v>
      </c>
      <c r="U29" s="12">
        <f>IF(RZS_S[[#This Row],[名前]]="","",(100+((VLOOKUP(RZS_S[[#This Row],[No用]],Q_Stat[],27,FALSE)-Statistics100!N$59)*5)/Statistics100!N$66))</f>
        <v>91.179749420512778</v>
      </c>
      <c r="V29" s="12">
        <f>IF(RZS_S[[#This Row],[名前]]="","",(100+((VLOOKUP(RZS_S[[#This Row],[No用]],Q_Stat[],28,FALSE)-Statistics100!O$59)*5)/Statistics100!O$66))</f>
        <v>94.445378527796976</v>
      </c>
      <c r="W29" s="12">
        <f>IF(RZS_S[[#This Row],[名前]]="","",(100+((VLOOKUP(RZS_S[[#This Row],[No用]],Q_Stat[],29,FALSE)-Statistics100!P$59)*5)/Statistics100!P$66))</f>
        <v>94.60408199843134</v>
      </c>
      <c r="X29" s="12">
        <f>IF(RZS_S[[#This Row],[名前]]="","",(100+((VLOOKUP(RZS_S[[#This Row],[No用]],Q_Stat[],30,FALSE)-Statistics100!Q$59)*5)/Statistics100!Q$66))</f>
        <v>100</v>
      </c>
    </row>
    <row r="30" spans="1:24" x14ac:dyDescent="0.35">
      <c r="A30" t="str">
        <f>IFERROR(Q_S[[#This Row],[No.]],"")</f>
        <v>131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IF(RZS_S[[#This Row],[名前]]="","",(100+((VLOOKUP(RZS_S[[#This Row],[No用]],Q_Stat[],13,FALSE)-Statistics100!B$59)*5)/Statistics100!B$66))</f>
        <v>96.320964998930464</v>
      </c>
      <c r="J30" s="12">
        <f>IF(RZS_S[[#This Row],[名前]]="","",(100+((VLOOKUP(RZS_S[[#This Row],[No用]],Q_Stat[],14,FALSE)-Statistics100!C$59)*5)/Statistics100!C$66))</f>
        <v>96.825930587312556</v>
      </c>
      <c r="K30" s="12">
        <f>IF(RZS_S[[#This Row],[名前]]="","",(100+((VLOOKUP(RZS_S[[#This Row],[No用]],Q_Stat[],15,FALSE)-Statistics100!D$59)*5)/Statistics100!D$66))</f>
        <v>96.825930587312556</v>
      </c>
      <c r="L30" s="12">
        <f>IF(RZS_S[[#This Row],[名前]]="","",(100+((VLOOKUP(RZS_S[[#This Row],[No用]],Q_Stat[],16,FALSE)-Statistics100!E$59)*5)/Statistics100!E$66))</f>
        <v>95.953061498823502</v>
      </c>
      <c r="M30" s="12">
        <f>IF(RZS_S[[#This Row],[名前]]="","",(100+((VLOOKUP(RZS_S[[#This Row],[No用]],Q_Stat[],17,FALSE)-Statistics100!F$59)*5)/Statistics100!F$66))</f>
        <v>86.510204996078357</v>
      </c>
      <c r="N30" s="12">
        <f>IF(RZS_S[[#This Row],[名前]]="","",(100+((VLOOKUP(RZS_S[[#This Row],[No用]],Q_Stat[],18,FALSE)-Statistics100!G$59)*5)/Statistics100!G$66))</f>
        <v>103.85422714397761</v>
      </c>
      <c r="O30" s="12">
        <f>IF(RZS_S[[#This Row],[名前]]="","",(100+((VLOOKUP(RZS_S[[#This Row],[No用]],Q_Stat[],19,FALSE)-Statistics100!H$59)*5)/Statistics100!H$66))</f>
        <v>96.627551249019589</v>
      </c>
      <c r="P30" s="12">
        <f>IF(RZS_S[[#This Row],[名前]]="","",(100+((VLOOKUP(RZS_S[[#This Row],[No用]],Q_Stat[],20,FALSE)-Statistics100!I$59)*5)/Statistics100!I$66))</f>
        <v>103.37244875098041</v>
      </c>
      <c r="Q30" s="12">
        <f>IF(RZS_S[[#This Row],[名前]]="","",(100+((VLOOKUP(RZS_S[[#This Row],[No用]],Q_Stat[],21,FALSE)-Statistics100!J$59)*5)/Statistics100!J$66))</f>
        <v>102.69795900078432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96.627551249019589</v>
      </c>
      <c r="T30" s="12">
        <f>IF(RZS_S[[#This Row],[名前]]="","",(100+((VLOOKUP(RZS_S[[#This Row],[No用]],Q_Stat[],26,FALSE)-Statistics100!M$59)*5)/Statistics100!M$66))</f>
        <v>93.773940767420783</v>
      </c>
      <c r="U30" s="12">
        <f>IF(RZS_S[[#This Row],[名前]]="","",(100+((VLOOKUP(RZS_S[[#This Row],[No用]],Q_Stat[],27,FALSE)-Statistics100!N$59)*5)/Statistics100!N$66))</f>
        <v>94.292779036802386</v>
      </c>
      <c r="V30" s="12">
        <f>IF(RZS_S[[#This Row],[名前]]="","",(100+((VLOOKUP(RZS_S[[#This Row],[No用]],Q_Stat[],28,FALSE)-Statistics100!O$59)*5)/Statistics100!O$66))</f>
        <v>96.825930587312556</v>
      </c>
      <c r="W30" s="12">
        <f>IF(RZS_S[[#This Row],[名前]]="","",(100+((VLOOKUP(RZS_S[[#This Row],[No用]],Q_Stat[],29,FALSE)-Statistics100!P$59)*5)/Statistics100!P$66))</f>
        <v>97.302040999215677</v>
      </c>
      <c r="X30" s="12">
        <f>IF(RZS_S[[#This Row],[名前]]="","",(100+((VLOOKUP(RZS_S[[#This Row],[No用]],Q_Stat[],30,FALSE)-Statistics100!Q$59)*5)/Statistics100!Q$66))</f>
        <v>102.69795900078432</v>
      </c>
    </row>
    <row r="31" spans="1:24" x14ac:dyDescent="0.35">
      <c r="A31" t="str">
        <f>IFERROR(Q_S[[#This Row],[No.]],"")</f>
        <v>138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IF(RZS_S[[#This Row],[名前]]="","",(100+((VLOOKUP(RZS_S[[#This Row],[No用]],Q_Stat[],13,FALSE)-Statistics100!B$59)*5)/Statistics100!B$66))</f>
        <v>100</v>
      </c>
      <c r="J31" s="12">
        <f>IF(RZS_S[[#This Row],[名前]]="","",(100+((VLOOKUP(RZS_S[[#This Row],[No用]],Q_Stat[],14,FALSE)-Statistics100!C$59)*5)/Statistics100!C$66))</f>
        <v>100</v>
      </c>
      <c r="K31" s="12">
        <f>IF(RZS_S[[#This Row],[名前]]="","",(100+((VLOOKUP(RZS_S[[#This Row],[No用]],Q_Stat[],15,FALSE)-Statistics100!D$59)*5)/Statistics100!D$66))</f>
        <v>96.032413234140691</v>
      </c>
      <c r="L31" s="12">
        <f>IF(RZS_S[[#This Row],[名前]]="","",(100+((VLOOKUP(RZS_S[[#This Row],[No用]],Q_Stat[],16,FALSE)-Statistics100!E$59)*5)/Statistics100!E$66))</f>
        <v>93.255102498039179</v>
      </c>
      <c r="M31" s="12">
        <f>IF(RZS_S[[#This Row],[名前]]="","",(100+((VLOOKUP(RZS_S[[#This Row],[No用]],Q_Stat[],17,FALSE)-Statistics100!F$59)*5)/Statistics100!F$66))</f>
        <v>86.510204996078357</v>
      </c>
      <c r="N31" s="12">
        <f>IF(RZS_S[[#This Row],[名前]]="","",(100+((VLOOKUP(RZS_S[[#This Row],[No用]],Q_Stat[],18,FALSE)-Statistics100!G$59)*5)/Statistics100!G$66))</f>
        <v>105.78134071596642</v>
      </c>
      <c r="O31" s="12">
        <f>IF(RZS_S[[#This Row],[名前]]="","",(100+((VLOOKUP(RZS_S[[#This Row],[No用]],Q_Stat[],19,FALSE)-Statistics100!H$59)*5)/Statistics100!H$66))</f>
        <v>103.37244875098041</v>
      </c>
      <c r="P31" s="12">
        <f>IF(RZS_S[[#This Row],[名前]]="","",(100+((VLOOKUP(RZS_S[[#This Row],[No用]],Q_Stat[],20,FALSE)-Statistics100!I$59)*5)/Statistics100!I$66))</f>
        <v>106.74489750196082</v>
      </c>
      <c r="Q31" s="12">
        <f>IF(RZS_S[[#This Row],[名前]]="","",(100+((VLOOKUP(RZS_S[[#This Row],[No用]],Q_Stat[],21,FALSE)-Statistics100!J$59)*5)/Statistics100!J$66))</f>
        <v>102.69795900078432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99.036443214005601</v>
      </c>
      <c r="T31" s="12">
        <f>IF(RZS_S[[#This Row],[名前]]="","",(100+((VLOOKUP(RZS_S[[#This Row],[No用]],Q_Stat[],26,FALSE)-Statistics100!M$59)*5)/Statistics100!M$66))</f>
        <v>96.886970383710391</v>
      </c>
      <c r="U31" s="12">
        <f>IF(RZS_S[[#This Row],[名前]]="","",(100+((VLOOKUP(RZS_S[[#This Row],[No用]],Q_Stat[],27,FALSE)-Statistics100!N$59)*5)/Statistics100!N$66))</f>
        <v>95.330455575565594</v>
      </c>
      <c r="V31" s="12">
        <f>IF(RZS_S[[#This Row],[名前]]="","",(100+((VLOOKUP(RZS_S[[#This Row],[No用]],Q_Stat[],28,FALSE)-Statistics100!O$59)*5)/Statistics100!O$66))</f>
        <v>96.032413234140691</v>
      </c>
      <c r="W31" s="12">
        <f>IF(RZS_S[[#This Row],[名前]]="","",(100+((VLOOKUP(RZS_S[[#This Row],[No用]],Q_Stat[],29,FALSE)-Statistics100!P$59)*5)/Statistics100!P$66))</f>
        <v>102.69795900078432</v>
      </c>
      <c r="X31" s="12">
        <f>IF(RZS_S[[#This Row],[名前]]="","",(100+((VLOOKUP(RZS_S[[#This Row],[No用]],Q_Stat[],30,FALSE)-Statistics100!Q$59)*5)/Statistics100!Q$66))</f>
        <v>105.39591800156866</v>
      </c>
    </row>
    <row r="32" spans="1:24" x14ac:dyDescent="0.35">
      <c r="A32" t="str">
        <f>IFERROR(Q_S[[#This Row],[No.]],"")</f>
        <v>151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99.206482646828135</v>
      </c>
      <c r="K32" s="12">
        <f>IF(RZS_S[[#This Row],[名前]]="","",(100+((VLOOKUP(RZS_S[[#This Row],[No用]],Q_Stat[],15,FALSE)-Statistics100!D$59)*5)/Statistics100!D$66))</f>
        <v>100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Row],[名前]]="","",(100+((VLOOKUP(RZS_S[[#This Row],[No用]],Q_Stat[],17,FALSE)-Statistics100!F$59)*5)/Statistics100!F$66))</f>
        <v>100</v>
      </c>
      <c r="N32" s="12">
        <f>IF(RZS_S[[#This Row],[名前]]="","",(100+((VLOOKUP(RZS_S[[#This Row],[No用]],Q_Stat[],18,FALSE)-Statistics100!G$59)*5)/Statistics100!G$66))</f>
        <v>101.92711357198881</v>
      </c>
      <c r="O32" s="12">
        <f>IF(RZS_S[[#This Row],[名前]]="","",(100+((VLOOKUP(RZS_S[[#This Row],[No用]],Q_Stat[],19,FALSE)-Statistics100!H$59)*5)/Statistics100!H$66))</f>
        <v>100</v>
      </c>
      <c r="P32" s="12">
        <f>IF(RZS_S[[#This Row],[名前]]="","",(100+((VLOOKUP(RZS_S[[#This Row],[No用]],Q_Stat[],20,FALSE)-Statistics100!I$59)*5)/Statistics100!I$66))</f>
        <v>100</v>
      </c>
      <c r="Q32" s="12">
        <f>IF(RZS_S[[#This Row],[名前]]="","",(100+((VLOOKUP(RZS_S[[#This Row],[No用]],Q_Stat[],21,FALSE)-Statistics100!J$59)*5)/Statistics100!J$66))</f>
        <v>102.69795900078432</v>
      </c>
      <c r="R32" s="12">
        <f>IF(RZS_S[[#This Row],[名前]]="","",(100+((VLOOKUP(RZS_S[[#This Row],[No用]],Q_Stat[],22,FALSE)-Statistics100!K$59)*5)/Statistics100!K$66))</f>
        <v>100</v>
      </c>
      <c r="S32" s="12">
        <f>IF(RZS_S[[#This Row],[名前]]="","",(100+((VLOOKUP(RZS_S[[#This Row],[No用]],Q_Stat[],25,FALSE)-Statistics100!L$59)*5)/Statistics100!L$66))</f>
        <v>98.795554017507001</v>
      </c>
      <c r="T32" s="12">
        <f>IF(RZS_S[[#This Row],[名前]]="","",(100+((VLOOKUP(RZS_S[[#This Row],[No用]],Q_Stat[],26,FALSE)-Statistics100!M$59)*5)/Statistics100!M$66))</f>
        <v>101.03767653876321</v>
      </c>
      <c r="U32" s="12">
        <f>IF(RZS_S[[#This Row],[名前]]="","",(100+((VLOOKUP(RZS_S[[#This Row],[No用]],Q_Stat[],27,FALSE)-Statistics100!N$59)*5)/Statistics100!N$66))</f>
        <v>97.924646922473599</v>
      </c>
      <c r="V32" s="12">
        <f>IF(RZS_S[[#This Row],[名前]]="","",(100+((VLOOKUP(RZS_S[[#This Row],[No用]],Q_Stat[],28,FALSE)-Statistics100!O$59)*5)/Statistics100!O$66))</f>
        <v>100</v>
      </c>
      <c r="W32" s="12">
        <f>IF(RZS_S[[#This Row],[名前]]="","",(100+((VLOOKUP(RZS_S[[#This Row],[No用]],Q_Stat[],29,FALSE)-Statistics100!P$59)*5)/Statistics100!P$66))</f>
        <v>100</v>
      </c>
      <c r="X32" s="12">
        <f>IF(RZS_S[[#This Row],[名前]]="","",(100+((VLOOKUP(RZS_S[[#This Row],[No用]],Q_Stat[],30,FALSE)-Statistics100!Q$59)*5)/Statistics100!Q$66))</f>
        <v>100</v>
      </c>
    </row>
    <row r="33" spans="1:24" x14ac:dyDescent="0.35">
      <c r="A33" t="str">
        <f>IFERROR(Q_S[[#This Row],[No.]],"")</f>
        <v>152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IF(RZS_S[[#This Row],[名前]]="","",(100+((VLOOKUP(RZS_S[[#This Row],[No用]],Q_Stat[],13,FALSE)-Statistics100!B$59)*5)/Statistics100!B$66))</f>
        <v>101.22634500035652</v>
      </c>
      <c r="J33" s="12">
        <f>IF(RZS_S[[#This Row],[名前]]="","",(100+((VLOOKUP(RZS_S[[#This Row],[No用]],Q_Stat[],14,FALSE)-Statistics100!C$59)*5)/Statistics100!C$66))</f>
        <v>101.58703470634373</v>
      </c>
      <c r="K33" s="12">
        <f>IF(RZS_S[[#This Row],[名前]]="","",(100+((VLOOKUP(RZS_S[[#This Row],[No用]],Q_Stat[],15,FALSE)-Statistics100!D$59)*5)/Statistics100!D$66))</f>
        <v>102.38055205951558</v>
      </c>
      <c r="L33" s="12">
        <f>IF(RZS_S[[#This Row],[名前]]="","",(100+((VLOOKUP(RZS_S[[#This Row],[No用]],Q_Stat[],16,FALSE)-Statistics100!E$59)*5)/Statistics100!E$66))</f>
        <v>100</v>
      </c>
      <c r="M33" s="12">
        <f>IF(RZS_S[[#This Row],[名前]]="","",(100+((VLOOKUP(RZS_S[[#This Row],[No用]],Q_Stat[],17,FALSE)-Statistics100!F$59)*5)/Statistics100!F$66))</f>
        <v>100</v>
      </c>
      <c r="N33" s="12">
        <f>IF(RZS_S[[#This Row],[名前]]="","",(100+((VLOOKUP(RZS_S[[#This Row],[No用]],Q_Stat[],18,FALSE)-Statistics100!G$59)*5)/Statistics100!G$66))</f>
        <v>103.85422714397761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103.37244875098041</v>
      </c>
      <c r="Q33" s="12">
        <f>IF(RZS_S[[#This Row],[名前]]="","",(100+((VLOOKUP(RZS_S[[#This Row],[No用]],Q_Stat[],21,FALSE)-Statistics100!J$59)*5)/Statistics100!J$66))</f>
        <v>105.39591800156866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102.16800276848741</v>
      </c>
      <c r="T33" s="12">
        <f>IF(RZS_S[[#This Row],[名前]]="","",(100+((VLOOKUP(RZS_S[[#This Row],[No用]],Q_Stat[],26,FALSE)-Statistics100!M$59)*5)/Statistics100!M$66))</f>
        <v>102.0753530775264</v>
      </c>
      <c r="U33" s="12">
        <f>IF(RZS_S[[#This Row],[名前]]="","",(100+((VLOOKUP(RZS_S[[#This Row],[No用]],Q_Stat[],27,FALSE)-Statistics100!N$59)*5)/Statistics100!N$66))</f>
        <v>101.03767653876321</v>
      </c>
      <c r="V33" s="12">
        <f>IF(RZS_S[[#This Row],[名前]]="","",(100+((VLOOKUP(RZS_S[[#This Row],[No用]],Q_Stat[],28,FALSE)-Statistics100!O$59)*5)/Statistics100!O$66))</f>
        <v>102.38055205951558</v>
      </c>
      <c r="W33" s="12">
        <f>IF(RZS_S[[#This Row],[名前]]="","",(100+((VLOOKUP(RZS_S[[#This Row],[No用]],Q_Stat[],29,FALSE)-Statistics100!P$59)*5)/Statistics100!P$66))</f>
        <v>102.69795900078432</v>
      </c>
      <c r="X33" s="12">
        <f>IF(RZS_S[[#This Row],[名前]]="","",(100+((VLOOKUP(RZS_S[[#This Row],[No用]],Q_Stat[],30,FALSE)-Statistics100!Q$59)*5)/Statistics100!Q$66))</f>
        <v>102.69795900078432</v>
      </c>
    </row>
    <row r="34" spans="1:24" x14ac:dyDescent="0.35">
      <c r="A34" t="str">
        <f>IFERROR(Q_S[[#This Row],[No.]],"")</f>
        <v>156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IF(RZS_S[[#This Row],[名前]]="","",(100+((VLOOKUP(RZS_S[[#This Row],[No用]],Q_Stat[],13,FALSE)-Statistics100!B$59)*5)/Statistics100!B$66))</f>
        <v>97.547309999286981</v>
      </c>
      <c r="J34" s="12">
        <f>IF(RZS_S[[#This Row],[名前]]="","",(100+((VLOOKUP(RZS_S[[#This Row],[No用]],Q_Stat[],14,FALSE)-Statistics100!C$59)*5)/Statistics100!C$66))</f>
        <v>99.206482646828135</v>
      </c>
      <c r="K34" s="12">
        <f>IF(RZS_S[[#This Row],[名前]]="","",(100+((VLOOKUP(RZS_S[[#This Row],[No用]],Q_Stat[],15,FALSE)-Statistics100!D$59)*5)/Statistics100!D$66))</f>
        <v>95.23889588096884</v>
      </c>
      <c r="L34" s="12">
        <f>IF(RZS_S[[#This Row],[名前]]="","",(100+((VLOOKUP(RZS_S[[#This Row],[No用]],Q_Stat[],16,FALSE)-Statistics100!E$59)*5)/Statistics100!E$66))</f>
        <v>93.255102498039179</v>
      </c>
      <c r="M34" s="12">
        <f>IF(RZS_S[[#This Row],[名前]]="","",(100+((VLOOKUP(RZS_S[[#This Row],[No用]],Q_Stat[],17,FALSE)-Statistics100!F$59)*5)/Statistics100!F$66))</f>
        <v>100</v>
      </c>
      <c r="N34" s="12">
        <f>IF(RZS_S[[#This Row],[名前]]="","",(100+((VLOOKUP(RZS_S[[#This Row],[No用]],Q_Stat[],18,FALSE)-Statistics100!G$59)*5)/Statistics100!G$66))</f>
        <v>101.92711357198881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102.69795900078432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96.627551249019589</v>
      </c>
      <c r="T34" s="12">
        <f>IF(RZS_S[[#This Row],[名前]]="","",(100+((VLOOKUP(RZS_S[[#This Row],[No用]],Q_Stat[],26,FALSE)-Statistics100!M$59)*5)/Statistics100!M$66))</f>
        <v>98.962323461236792</v>
      </c>
      <c r="U34" s="12">
        <f>IF(RZS_S[[#This Row],[名前]]="","",(100+((VLOOKUP(RZS_S[[#This Row],[No用]],Q_Stat[],27,FALSE)-Statistics100!N$59)*5)/Statistics100!N$66))</f>
        <v>96.886970383710391</v>
      </c>
      <c r="V34" s="12">
        <f>IF(RZS_S[[#This Row],[名前]]="","",(100+((VLOOKUP(RZS_S[[#This Row],[No用]],Q_Stat[],28,FALSE)-Statistics100!O$59)*5)/Statistics100!O$66))</f>
        <v>95.23889588096884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157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IF(RZS_S[[#This Row],[名前]]="","",(100+((VLOOKUP(RZS_S[[#This Row],[No用]],Q_Stat[],13,FALSE)-Statistics100!B$59)*5)/Statistics100!B$66))</f>
        <v>98.773654999643483</v>
      </c>
      <c r="J35" s="12">
        <f>IF(RZS_S[[#This Row],[名前]]="","",(100+((VLOOKUP(RZS_S[[#This Row],[No用]],Q_Stat[],14,FALSE)-Statistics100!C$59)*5)/Statistics100!C$66))</f>
        <v>101.58703470634373</v>
      </c>
      <c r="K35" s="12">
        <f>IF(RZS_S[[#This Row],[名前]]="","",(100+((VLOOKUP(RZS_S[[#This Row],[No用]],Q_Stat[],15,FALSE)-Statistics100!D$59)*5)/Statistics100!D$66))</f>
        <v>97.61944794048442</v>
      </c>
      <c r="L35" s="12">
        <f>IF(RZS_S[[#This Row],[名前]]="","",(100+((VLOOKUP(RZS_S[[#This Row],[No用]],Q_Stat[],16,FALSE)-Statistics100!E$59)*5)/Statistics100!E$66))</f>
        <v>97.302040999215677</v>
      </c>
      <c r="M35" s="12">
        <f>IF(RZS_S[[#This Row],[名前]]="","",(100+((VLOOKUP(RZS_S[[#This Row],[No用]],Q_Stat[],17,FALSE)-Statistics100!F$59)*5)/Statistics100!F$66))</f>
        <v>100</v>
      </c>
      <c r="N35" s="12">
        <f>IF(RZS_S[[#This Row],[名前]]="","",(100+((VLOOKUP(RZS_S[[#This Row],[No用]],Q_Stat[],18,FALSE)-Statistics100!G$59)*5)/Statistics100!G$66))</f>
        <v>103.85422714397761</v>
      </c>
      <c r="O35" s="12">
        <f>IF(RZS_S[[#This Row],[名前]]="","",(100+((VLOOKUP(RZS_S[[#This Row],[No用]],Q_Stat[],19,FALSE)-Statistics100!H$59)*5)/Statistics100!H$66))</f>
        <v>101.6862243754902</v>
      </c>
      <c r="P35" s="12">
        <f>IF(RZS_S[[#This Row],[名前]]="","",(100+((VLOOKUP(RZS_S[[#This Row],[No用]],Q_Stat[],20,FALSE)-Statistics100!I$59)*5)/Statistics100!I$66))</f>
        <v>106.74489750196082</v>
      </c>
      <c r="Q35" s="12">
        <f>IF(RZS_S[[#This Row],[名前]]="","",(100+((VLOOKUP(RZS_S[[#This Row],[No用]],Q_Stat[],21,FALSE)-Statistics100!J$59)*5)/Statistics100!J$66))</f>
        <v>105.39591800156866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100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100</v>
      </c>
      <c r="V35" s="12">
        <f>IF(RZS_S[[#This Row],[名前]]="","",(100+((VLOOKUP(RZS_S[[#This Row],[No用]],Q_Stat[],28,FALSE)-Statistics100!O$59)*5)/Statistics100!O$66))</f>
        <v>97.61944794048442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159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IF(RZS_S[[#This Row],[名前]]="","",(100+((VLOOKUP(RZS_S[[#This Row],[No用]],Q_Stat[],13,FALSE)-Statistics100!B$59)*5)/Statistics100!B$66))</f>
        <v>101.22634500035652</v>
      </c>
      <c r="J36" s="12">
        <f>IF(RZS_S[[#This Row],[名前]]="","",(100+((VLOOKUP(RZS_S[[#This Row],[No用]],Q_Stat[],14,FALSE)-Statistics100!C$59)*5)/Statistics100!C$66))</f>
        <v>106.34813882537489</v>
      </c>
      <c r="K36" s="12">
        <f>IF(RZS_S[[#This Row],[名前]]="","",(100+((VLOOKUP(RZS_S[[#This Row],[No用]],Q_Stat[],15,FALSE)-Statistics100!D$59)*5)/Statistics100!D$66))</f>
        <v>102.38055205951558</v>
      </c>
      <c r="L36" s="12">
        <f>IF(RZS_S[[#This Row],[名前]]="","",(100+((VLOOKUP(RZS_S[[#This Row],[No用]],Q_Stat[],16,FALSE)-Statistics100!E$59)*5)/Statistics100!E$66))</f>
        <v>101.34897950039216</v>
      </c>
      <c r="M36" s="12">
        <f>IF(RZS_S[[#This Row],[名前]]="","",(100+((VLOOKUP(RZS_S[[#This Row],[No用]],Q_Stat[],17,FALSE)-Statistics100!F$59)*5)/Statistics100!F$66))</f>
        <v>100</v>
      </c>
      <c r="N36" s="12">
        <f>IF(RZS_S[[#This Row],[名前]]="","",(100+((VLOOKUP(RZS_S[[#This Row],[No用]],Q_Stat[],18,FALSE)-Statistics100!G$59)*5)/Statistics100!G$66))</f>
        <v>96.14577285602239</v>
      </c>
      <c r="O36" s="12">
        <f>IF(RZS_S[[#This Row],[名前]]="","",(100+((VLOOKUP(RZS_S[[#This Row],[No用]],Q_Stat[],19,FALSE)-Statistics100!H$59)*5)/Statistics100!H$66))</f>
        <v>103.37244875098041</v>
      </c>
      <c r="P36" s="12">
        <f>IF(RZS_S[[#This Row],[名前]]="","",(100+((VLOOKUP(RZS_S[[#This Row],[No用]],Q_Stat[],20,FALSE)-Statistics100!I$59)*5)/Statistics100!I$66))</f>
        <v>93.255102498039179</v>
      </c>
      <c r="Q36" s="12">
        <f>IF(RZS_S[[#This Row],[名前]]="","",(100+((VLOOKUP(RZS_S[[#This Row],[No用]],Q_Stat[],21,FALSE)-Statistics100!J$59)*5)/Statistics100!J$66))</f>
        <v>102.69795900078432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102.16800276848741</v>
      </c>
      <c r="T36" s="12">
        <f>IF(RZS_S[[#This Row],[名前]]="","",(100+((VLOOKUP(RZS_S[[#This Row],[No用]],Q_Stat[],26,FALSE)-Statistics100!M$59)*5)/Statistics100!M$66))</f>
        <v>102.0753530775264</v>
      </c>
      <c r="U36" s="12">
        <f>IF(RZS_S[[#This Row],[名前]]="","",(100+((VLOOKUP(RZS_S[[#This Row],[No用]],Q_Stat[],27,FALSE)-Statistics100!N$59)*5)/Statistics100!N$66))</f>
        <v>104.66954442443441</v>
      </c>
      <c r="V36" s="12">
        <f>IF(RZS_S[[#This Row],[名前]]="","",(100+((VLOOKUP(RZS_S[[#This Row],[No用]],Q_Stat[],28,FALSE)-Statistics100!O$59)*5)/Statistics100!O$66))</f>
        <v>102.38055205951558</v>
      </c>
      <c r="W36" s="12">
        <f>IF(RZS_S[[#This Row],[名前]]="","",(100+((VLOOKUP(RZS_S[[#This Row],[No用]],Q_Stat[],29,FALSE)-Statistics100!P$59)*5)/Statistics100!P$66))</f>
        <v>102.69795900078432</v>
      </c>
      <c r="X36" s="12">
        <f>IF(RZS_S[[#This Row],[名前]]="","",(100+((VLOOKUP(RZS_S[[#This Row],[No用]],Q_Stat[],30,FALSE)-Statistics100!Q$59)*5)/Statistics100!Q$66))</f>
        <v>93.255102498039179</v>
      </c>
    </row>
    <row r="37" spans="1:24" x14ac:dyDescent="0.35">
      <c r="A37" t="str">
        <f>IFERROR(Q_S[[#This Row],[No.]],"")</f>
        <v>160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IF(RZS_S[[#This Row],[名前]]="","",(100+((VLOOKUP(RZS_S[[#This Row],[No用]],Q_Stat[],13,FALSE)-Statistics100!B$59)*5)/Statistics100!B$66))</f>
        <v>102.45269000071302</v>
      </c>
      <c r="J37" s="12">
        <f>IF(RZS_S[[#This Row],[名前]]="","",(100+((VLOOKUP(RZS_S[[#This Row],[No用]],Q_Stat[],14,FALSE)-Statistics100!C$59)*5)/Statistics100!C$66))</f>
        <v>108.72869088489047</v>
      </c>
      <c r="K37" s="12">
        <f>IF(RZS_S[[#This Row],[名前]]="","",(100+((VLOOKUP(RZS_S[[#This Row],[No用]],Q_Stat[],15,FALSE)-Statistics100!D$59)*5)/Statistics100!D$66))</f>
        <v>104.76110411903116</v>
      </c>
      <c r="L37" s="12">
        <f>IF(RZS_S[[#This Row],[名前]]="","",(100+((VLOOKUP(RZS_S[[#This Row],[No用]],Q_Stat[],16,FALSE)-Statistics100!E$59)*5)/Statistics100!E$66))</f>
        <v>105.39591800156866</v>
      </c>
      <c r="M37" s="12">
        <f>IF(RZS_S[[#This Row],[名前]]="","",(100+((VLOOKUP(RZS_S[[#This Row],[No用]],Q_Stat[],17,FALSE)-Statistics100!F$59)*5)/Statistics100!F$66))</f>
        <v>100</v>
      </c>
      <c r="N37" s="12">
        <f>IF(RZS_S[[#This Row],[名前]]="","",(100+((VLOOKUP(RZS_S[[#This Row],[No用]],Q_Stat[],18,FALSE)-Statistics100!G$59)*5)/Statistics100!G$66))</f>
        <v>98.072886428011188</v>
      </c>
      <c r="O37" s="12">
        <f>IF(RZS_S[[#This Row],[名前]]="","",(100+((VLOOKUP(RZS_S[[#This Row],[No用]],Q_Stat[],19,FALSE)-Statistics100!H$59)*5)/Statistics100!H$66))</f>
        <v>105.05867312647061</v>
      </c>
      <c r="P37" s="12">
        <f>IF(RZS_S[[#This Row],[名前]]="","",(100+((VLOOKUP(RZS_S[[#This Row],[No用]],Q_Stat[],20,FALSE)-Statistics100!I$59)*5)/Statistics100!I$66))</f>
        <v>96.627551249019589</v>
      </c>
      <c r="Q37" s="12">
        <f>IF(RZS_S[[#This Row],[名前]]="","",(100+((VLOOKUP(RZS_S[[#This Row],[No用]],Q_Stat[],21,FALSE)-Statistics100!J$59)*5)/Statistics100!J$66))</f>
        <v>105.39591800156866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105.54045151946782</v>
      </c>
      <c r="T37" s="12">
        <f>IF(RZS_S[[#This Row],[名前]]="","",(100+((VLOOKUP(RZS_S[[#This Row],[No用]],Q_Stat[],26,FALSE)-Statistics100!M$59)*5)/Statistics100!M$66))</f>
        <v>103.11302961628961</v>
      </c>
      <c r="U37" s="12">
        <f>IF(RZS_S[[#This Row],[名前]]="","",(100+((VLOOKUP(RZS_S[[#This Row],[No用]],Q_Stat[],27,FALSE)-Statistics100!N$59)*5)/Statistics100!N$66))</f>
        <v>107.78257404072403</v>
      </c>
      <c r="V37" s="12">
        <f>IF(RZS_S[[#This Row],[名前]]="","",(100+((VLOOKUP(RZS_S[[#This Row],[No用]],Q_Stat[],28,FALSE)-Statistics100!O$59)*5)/Statistics100!O$66))</f>
        <v>104.76110411903116</v>
      </c>
      <c r="W37" s="12">
        <f>IF(RZS_S[[#This Row],[名前]]="","",(100+((VLOOKUP(RZS_S[[#This Row],[No用]],Q_Stat[],29,FALSE)-Statistics100!P$59)*5)/Statistics100!P$66))</f>
        <v>105.39591800156866</v>
      </c>
      <c r="X37" s="12">
        <f>IF(RZS_S[[#This Row],[名前]]="","",(100+((VLOOKUP(RZS_S[[#This Row],[No用]],Q_Stat[],30,FALSE)-Statistics100!Q$59)*5)/Statistics100!Q$66))</f>
        <v>95.953061498823502</v>
      </c>
    </row>
    <row r="38" spans="1:24" x14ac:dyDescent="0.35">
      <c r="A38" t="str">
        <f>IFERROR(Q_S[[#This Row],[No.]],"")</f>
        <v>161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IF(RZS_S[[#This Row],[名前]]="","",(100+((VLOOKUP(RZS_S[[#This Row],[No用]],Q_Stat[],13,FALSE)-Statistics100!B$59)*5)/Statistics100!B$66))</f>
        <v>100</v>
      </c>
      <c r="J38" s="12">
        <f>IF(RZS_S[[#This Row],[名前]]="","",(100+((VLOOKUP(RZS_S[[#This Row],[No用]],Q_Stat[],14,FALSE)-Statistics100!C$59)*5)/Statistics100!C$66))</f>
        <v>110.3157255912342</v>
      </c>
      <c r="K38" s="12">
        <f>IF(RZS_S[[#This Row],[名前]]="","",(100+((VLOOKUP(RZS_S[[#This Row],[No用]],Q_Stat[],15,FALSE)-Statistics100!D$59)*5)/Statistics100!D$66))</f>
        <v>103.96758676585931</v>
      </c>
      <c r="L38" s="12">
        <f>IF(RZS_S[[#This Row],[名前]]="","",(100+((VLOOKUP(RZS_S[[#This Row],[No用]],Q_Stat[],16,FALSE)-Statistics100!E$59)*5)/Statistics100!E$66))</f>
        <v>106.74489750196082</v>
      </c>
      <c r="M38" s="12">
        <f>IF(RZS_S[[#This Row],[名前]]="","",(100+((VLOOKUP(RZS_S[[#This Row],[No用]],Q_Stat[],17,FALSE)-Statistics100!F$59)*5)/Statistics100!F$66))</f>
        <v>100</v>
      </c>
      <c r="N38" s="12">
        <f>IF(RZS_S[[#This Row],[名前]]="","",(100+((VLOOKUP(RZS_S[[#This Row],[No用]],Q_Stat[],18,FALSE)-Statistics100!G$59)*5)/Statistics100!G$66))</f>
        <v>94.218659284033578</v>
      </c>
      <c r="O38" s="12">
        <f>IF(RZS_S[[#This Row],[名前]]="","",(100+((VLOOKUP(RZS_S[[#This Row],[No用]],Q_Stat[],19,FALSE)-Statistics100!H$59)*5)/Statistics100!H$66))</f>
        <v>108.43112187745102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108.09387700235298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105.54045151946782</v>
      </c>
      <c r="T38" s="12">
        <f>IF(RZS_S[[#This Row],[名前]]="","",(100+((VLOOKUP(RZS_S[[#This Row],[No用]],Q_Stat[],26,FALSE)-Statistics100!M$59)*5)/Statistics100!M$66))</f>
        <v>101.03767653876321</v>
      </c>
      <c r="U38" s="12">
        <f>IF(RZS_S[[#This Row],[名前]]="","",(100+((VLOOKUP(RZS_S[[#This Row],[No用]],Q_Stat[],27,FALSE)-Statistics100!N$59)*5)/Statistics100!N$66))</f>
        <v>109.33908884886883</v>
      </c>
      <c r="V38" s="12">
        <f>IF(RZS_S[[#This Row],[名前]]="","",(100+((VLOOKUP(RZS_S[[#This Row],[No用]],Q_Stat[],28,FALSE)-Statistics100!O$59)*5)/Statistics100!O$66))</f>
        <v>103.96758676585931</v>
      </c>
      <c r="W38" s="12">
        <f>IF(RZS_S[[#This Row],[名前]]="","",(100+((VLOOKUP(RZS_S[[#This Row],[No用]],Q_Stat[],29,FALSE)-Statistics100!P$59)*5)/Statistics100!P$66))</f>
        <v>109.44285650274514</v>
      </c>
      <c r="X38" s="12">
        <f>IF(RZS_S[[#This Row],[名前]]="","",(100+((VLOOKUP(RZS_S[[#This Row],[No用]],Q_Stat[],30,FALSE)-Statistics100!Q$59)*5)/Statistics100!Q$66))</f>
        <v>91.906122997647017</v>
      </c>
    </row>
    <row r="39" spans="1:24" x14ac:dyDescent="0.35">
      <c r="A39" t="str">
        <f>IFERROR(Q_S[[#This Row],[No.]],"")</f>
        <v>184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IF(RZS_S[[#This Row],[名前]]="","",(100+((VLOOKUP(RZS_S[[#This Row],[No用]],Q_Stat[],13,FALSE)-Statistics100!B$59)*5)/Statistics100!B$66))</f>
        <v>100</v>
      </c>
      <c r="J39" s="12">
        <f>IF(RZS_S[[#This Row],[名前]]="","",(100+((VLOOKUP(RZS_S[[#This Row],[No用]],Q_Stat[],14,FALSE)-Statistics100!C$59)*5)/Statistics100!C$66))</f>
        <v>100</v>
      </c>
      <c r="K39" s="12">
        <f>IF(RZS_S[[#This Row],[名前]]="","",(100+((VLOOKUP(RZS_S[[#This Row],[No用]],Q_Stat[],15,FALSE)-Statistics100!D$59)*5)/Statistics100!D$66))</f>
        <v>99.206482646828135</v>
      </c>
      <c r="L39" s="12">
        <f>IF(RZS_S[[#This Row],[名前]]="","",(100+((VLOOKUP(RZS_S[[#This Row],[No用]],Q_Stat[],16,FALSE)-Statistics100!E$59)*5)/Statistics100!E$66))</f>
        <v>100</v>
      </c>
      <c r="M39" s="12">
        <f>IF(RZS_S[[#This Row],[名前]]="","",(100+((VLOOKUP(RZS_S[[#This Row],[No用]],Q_Stat[],17,FALSE)-Statistics100!F$59)*5)/Statistics100!F$66))</f>
        <v>100</v>
      </c>
      <c r="N39" s="12">
        <f>IF(RZS_S[[#This Row],[名前]]="","",(100+((VLOOKUP(RZS_S[[#This Row],[No用]],Q_Stat[],18,FALSE)-Statistics100!G$59)*5)/Statistics100!G$66))</f>
        <v>96.14577285602239</v>
      </c>
      <c r="O39" s="12">
        <f>IF(RZS_S[[#This Row],[名前]]="","",(100+((VLOOKUP(RZS_S[[#This Row],[No用]],Q_Stat[],19,FALSE)-Statistics100!H$59)*5)/Statistics100!H$66))</f>
        <v>106.74489750196082</v>
      </c>
      <c r="P39" s="12">
        <f>IF(RZS_S[[#This Row],[名前]]="","",(100+((VLOOKUP(RZS_S[[#This Row],[No用]],Q_Stat[],20,FALSE)-Statistics100!I$59)*5)/Statistics100!I$66))</f>
        <v>106.74489750196082</v>
      </c>
      <c r="Q39" s="12">
        <f>IF(RZS_S[[#This Row],[名前]]="","",(100+((VLOOKUP(RZS_S[[#This Row],[No用]],Q_Stat[],21,FALSE)-Statistics100!J$59)*5)/Statistics100!J$66))</f>
        <v>105.39591800156866</v>
      </c>
      <c r="R39" s="12">
        <f>IF(RZS_S[[#This Row],[名前]]="","",(100+((VLOOKUP(RZS_S[[#This Row],[No用]],Q_Stat[],22,FALSE)-Statistics100!K$59)*5)/Statistics100!K$66))</f>
        <v>106.74489750196082</v>
      </c>
      <c r="S39" s="12">
        <f>IF(RZS_S[[#This Row],[名前]]="","",(100+((VLOOKUP(RZS_S[[#This Row],[No用]],Q_Stat[],25,FALSE)-Statistics100!L$59)*5)/Statistics100!L$66))</f>
        <v>101.6862243754902</v>
      </c>
      <c r="T39" s="12">
        <f>IF(RZS_S[[#This Row],[名前]]="","",(100+((VLOOKUP(RZS_S[[#This Row],[No用]],Q_Stat[],26,FALSE)-Statistics100!M$59)*5)/Statistics100!M$66))</f>
        <v>101.03767653876321</v>
      </c>
      <c r="U39" s="12">
        <f>IF(RZS_S[[#This Row],[名前]]="","",(100+((VLOOKUP(RZS_S[[#This Row],[No用]],Q_Stat[],27,FALSE)-Statistics100!N$59)*5)/Statistics100!N$66))</f>
        <v>100</v>
      </c>
      <c r="V39" s="12">
        <f>IF(RZS_S[[#This Row],[名前]]="","",(100+((VLOOKUP(RZS_S[[#This Row],[No用]],Q_Stat[],28,FALSE)-Statistics100!O$59)*5)/Statistics100!O$66))</f>
        <v>99.206482646828135</v>
      </c>
      <c r="W39" s="12">
        <f>IF(RZS_S[[#This Row],[名前]]="","",(100+((VLOOKUP(RZS_S[[#This Row],[No用]],Q_Stat[],29,FALSE)-Statistics100!P$59)*5)/Statistics100!P$66))</f>
        <v>106.74489750196082</v>
      </c>
      <c r="X39" s="12">
        <f>IF(RZS_S[[#This Row],[名前]]="","",(100+((VLOOKUP(RZS_S[[#This Row],[No用]],Q_Stat[],30,FALSE)-Statistics100!Q$59)*5)/Statistics100!Q$66))</f>
        <v>98.651020499607839</v>
      </c>
    </row>
    <row r="40" spans="1:24" x14ac:dyDescent="0.35">
      <c r="A40" t="str">
        <f>IFERROR(Q_S[[#This Row],[No.]],"")</f>
        <v>185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IF(RZS_S[[#This Row],[名前]]="","",(100+((VLOOKUP(RZS_S[[#This Row],[No用]],Q_Stat[],13,FALSE)-Statistics100!B$59)*5)/Statistics100!B$66))</f>
        <v>101.22634500035652</v>
      </c>
      <c r="J40" s="12">
        <f>IF(RZS_S[[#This Row],[名前]]="","",(100+((VLOOKUP(RZS_S[[#This Row],[No用]],Q_Stat[],14,FALSE)-Statistics100!C$59)*5)/Statistics100!C$66))</f>
        <v>102.38055205951558</v>
      </c>
      <c r="K40" s="12">
        <f>IF(RZS_S[[#This Row],[名前]]="","",(100+((VLOOKUP(RZS_S[[#This Row],[No用]],Q_Stat[],15,FALSE)-Statistics100!D$59)*5)/Statistics100!D$66))</f>
        <v>101.58703470634373</v>
      </c>
      <c r="L40" s="12">
        <f>IF(RZS_S[[#This Row],[名前]]="","",(100+((VLOOKUP(RZS_S[[#This Row],[No用]],Q_Stat[],16,FALSE)-Statistics100!E$59)*5)/Statistics100!E$66))</f>
        <v>104.0469385011765</v>
      </c>
      <c r="M40" s="12">
        <f>IF(RZS_S[[#This Row],[名前]]="","",(100+((VLOOKUP(RZS_S[[#This Row],[No用]],Q_Stat[],17,FALSE)-Statistics100!F$59)*5)/Statistics100!F$66))</f>
        <v>100</v>
      </c>
      <c r="N40" s="12">
        <f>IF(RZS_S[[#This Row],[名前]]="","",(100+((VLOOKUP(RZS_S[[#This Row],[No用]],Q_Stat[],18,FALSE)-Statistics100!G$59)*5)/Statistics100!G$66))</f>
        <v>98.072886428011188</v>
      </c>
      <c r="O40" s="12">
        <f>IF(RZS_S[[#This Row],[名前]]="","",(100+((VLOOKUP(RZS_S[[#This Row],[No用]],Q_Stat[],19,FALSE)-Statistics100!H$59)*5)/Statistics100!H$66))</f>
        <v>108.43112187745102</v>
      </c>
      <c r="P40" s="12">
        <f>IF(RZS_S[[#This Row],[名前]]="","",(100+((VLOOKUP(RZS_S[[#This Row],[No用]],Q_Stat[],20,FALSE)-Statistics100!I$59)*5)/Statistics100!I$66))</f>
        <v>110.11734625294123</v>
      </c>
      <c r="Q40" s="12">
        <f>IF(RZS_S[[#This Row],[名前]]="","",(100+((VLOOKUP(RZS_S[[#This Row],[No用]],Q_Stat[],21,FALSE)-Statistics100!J$59)*5)/Statistics100!J$66))</f>
        <v>108.09387700235298</v>
      </c>
      <c r="R40" s="12">
        <f>IF(RZS_S[[#This Row],[名前]]="","",(100+((VLOOKUP(RZS_S[[#This Row],[No用]],Q_Stat[],22,FALSE)-Statistics100!K$59)*5)/Statistics100!K$66))</f>
        <v>106.74489750196082</v>
      </c>
      <c r="S40" s="12">
        <f>IF(RZS_S[[#This Row],[名前]]="","",(100+((VLOOKUP(RZS_S[[#This Row],[No用]],Q_Stat[],25,FALSE)-Statistics100!L$59)*5)/Statistics100!L$66))</f>
        <v>105.05867312647061</v>
      </c>
      <c r="T40" s="12">
        <f>IF(RZS_S[[#This Row],[名前]]="","",(100+((VLOOKUP(RZS_S[[#This Row],[No用]],Q_Stat[],26,FALSE)-Statistics100!M$59)*5)/Statistics100!M$66))</f>
        <v>102.0753530775264</v>
      </c>
      <c r="U40" s="12">
        <f>IF(RZS_S[[#This Row],[名前]]="","",(100+((VLOOKUP(RZS_S[[#This Row],[No用]],Q_Stat[],27,FALSE)-Statistics100!N$59)*5)/Statistics100!N$66))</f>
        <v>103.11302961628961</v>
      </c>
      <c r="V40" s="12">
        <f>IF(RZS_S[[#This Row],[名前]]="","",(100+((VLOOKUP(RZS_S[[#This Row],[No用]],Q_Stat[],28,FALSE)-Statistics100!O$59)*5)/Statistics100!O$66))</f>
        <v>101.58703470634373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101.34897950039216</v>
      </c>
    </row>
    <row r="41" spans="1:24" x14ac:dyDescent="0.35">
      <c r="A41" t="str">
        <f>IFERROR(Q_S[[#This Row],[No.]],"")</f>
        <v>186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IF(RZS_S[[#This Row],[名前]]="","",(100+((VLOOKUP(RZS_S[[#This Row],[No用]],Q_Stat[],13,FALSE)-Statistics100!B$59)*5)/Statistics100!B$66))</f>
        <v>98.773654999643483</v>
      </c>
      <c r="J41" s="12">
        <f>IF(RZS_S[[#This Row],[名前]]="","",(100+((VLOOKUP(RZS_S[[#This Row],[No用]],Q_Stat[],14,FALSE)-Statistics100!C$59)*5)/Statistics100!C$66))</f>
        <v>103.96758676585931</v>
      </c>
      <c r="K41" s="12">
        <f>IF(RZS_S[[#This Row],[名前]]="","",(100+((VLOOKUP(RZS_S[[#This Row],[No用]],Q_Stat[],15,FALSE)-Statistics100!D$59)*5)/Statistics100!D$66))</f>
        <v>103.96758676585931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Row],[名前]]="","",(100+((VLOOKUP(RZS_S[[#This Row],[No用]],Q_Stat[],17,FALSE)-Statistics100!F$59)*5)/Statistics100!F$66))</f>
        <v>100</v>
      </c>
      <c r="N41" s="12">
        <f>IF(RZS_S[[#This Row],[名前]]="","",(100+((VLOOKUP(RZS_S[[#This Row],[No用]],Q_Stat[],18,FALSE)-Statistics100!G$59)*5)/Statistics100!G$66))</f>
        <v>92.29154571204478</v>
      </c>
      <c r="O41" s="12">
        <f>IF(RZS_S[[#This Row],[名前]]="","",(100+((VLOOKUP(RZS_S[[#This Row],[No用]],Q_Stat[],19,FALSE)-Statistics100!H$59)*5)/Statistics100!H$66))</f>
        <v>108.43112187745102</v>
      </c>
      <c r="P41" s="12">
        <f>IF(RZS_S[[#This Row],[名前]]="","",(100+((VLOOKUP(RZS_S[[#This Row],[No用]],Q_Stat[],20,FALSE)-Statistics100!I$59)*5)/Statistics100!I$66))</f>
        <v>103.37244875098041</v>
      </c>
      <c r="Q41" s="12">
        <f>IF(RZS_S[[#This Row],[名前]]="","",(100+((VLOOKUP(RZS_S[[#This Row],[No用]],Q_Stat[],21,FALSE)-Statistics100!J$59)*5)/Statistics100!J$66))</f>
        <v>108.09387700235298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105.05867312647061</v>
      </c>
      <c r="T41" s="12">
        <f>IF(RZS_S[[#This Row],[名前]]="","",(100+((VLOOKUP(RZS_S[[#This Row],[No用]],Q_Stat[],26,FALSE)-Statistics100!M$59)*5)/Statistics100!M$66))</f>
        <v>100</v>
      </c>
      <c r="U41" s="12">
        <f>IF(RZS_S[[#This Row],[名前]]="","",(100+((VLOOKUP(RZS_S[[#This Row],[No用]],Q_Stat[],27,FALSE)-Statistics100!N$59)*5)/Statistics100!N$66))</f>
        <v>105.18838269381601</v>
      </c>
      <c r="V41" s="12">
        <f>IF(RZS_S[[#This Row],[名前]]="","",(100+((VLOOKUP(RZS_S[[#This Row],[No用]],Q_Stat[],28,FALSE)-Statistics100!O$59)*5)/Statistics100!O$66))</f>
        <v>103.96758676585931</v>
      </c>
      <c r="W41" s="12">
        <f>IF(RZS_S[[#This Row],[名前]]="","",(100+((VLOOKUP(RZS_S[[#This Row],[No用]],Q_Stat[],29,FALSE)-Statistics100!P$59)*5)/Statistics100!P$66))</f>
        <v>109.44285650274514</v>
      </c>
      <c r="X41" s="12">
        <f>IF(RZS_S[[#This Row],[名前]]="","",(100+((VLOOKUP(RZS_S[[#This Row],[No用]],Q_Stat[],30,FALSE)-Statistics100!Q$59)*5)/Statistics100!Q$66))</f>
        <v>94.60408199843134</v>
      </c>
    </row>
    <row r="42" spans="1:24" x14ac:dyDescent="0.35">
      <c r="A42" t="str">
        <f>IFERROR(Q_S[[#This Row],[No.]],"")</f>
        <v>187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IF(RZS_S[[#This Row],[名前]]="","",(100+((VLOOKUP(RZS_S[[#This Row],[No用]],Q_Stat[],13,FALSE)-Statistics100!B$59)*5)/Statistics100!B$66))</f>
        <v>98.773654999643483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103.17406941268744</v>
      </c>
      <c r="L42" s="12">
        <f>IF(RZS_S[[#This Row],[名前]]="","",(100+((VLOOKUP(RZS_S[[#This Row],[No用]],Q_Stat[],16,FALSE)-Statistics100!E$59)*5)/Statistics100!E$66))</f>
        <v>102.69795900078432</v>
      </c>
      <c r="M42" s="12">
        <f>IF(RZS_S[[#This Row],[名前]]="","",(100+((VLOOKUP(RZS_S[[#This Row],[No用]],Q_Stat[],17,FALSE)-Statistics100!F$59)*5)/Statistics100!F$66))</f>
        <v>100</v>
      </c>
      <c r="N42" s="12">
        <f>IF(RZS_S[[#This Row],[名前]]="","",(100+((VLOOKUP(RZS_S[[#This Row],[No用]],Q_Stat[],18,FALSE)-Statistics100!G$59)*5)/Statistics100!G$66))</f>
        <v>103.85422714397761</v>
      </c>
      <c r="O42" s="12">
        <f>IF(RZS_S[[#This Row],[名前]]="","",(100+((VLOOKUP(RZS_S[[#This Row],[No用]],Q_Stat[],19,FALSE)-Statistics100!H$59)*5)/Statistics100!H$66))</f>
        <v>108.43112187745102</v>
      </c>
      <c r="P42" s="12">
        <f>IF(RZS_S[[#This Row],[名前]]="","",(100+((VLOOKUP(RZS_S[[#This Row],[No用]],Q_Stat[],20,FALSE)-Statistics100!I$59)*5)/Statistics100!I$66))</f>
        <v>116.86224375490205</v>
      </c>
      <c r="Q42" s="12">
        <f>IF(RZS_S[[#This Row],[名前]]="","",(100+((VLOOKUP(RZS_S[[#This Row],[No用]],Q_Stat[],21,FALSE)-Statistics100!J$59)*5)/Statistics100!J$66))</f>
        <v>108.09387700235298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105.29956232296922</v>
      </c>
      <c r="T42" s="12">
        <f>IF(RZS_S[[#This Row],[名前]]="","",(100+((VLOOKUP(RZS_S[[#This Row],[No用]],Q_Stat[],26,FALSE)-Statistics100!M$59)*5)/Statistics100!M$66))</f>
        <v>100</v>
      </c>
      <c r="U42" s="12">
        <f>IF(RZS_S[[#This Row],[名前]]="","",(100+((VLOOKUP(RZS_S[[#This Row],[No用]],Q_Stat[],27,FALSE)-Statistics100!N$59)*5)/Statistics100!N$66))</f>
        <v>101.03767653876321</v>
      </c>
      <c r="V42" s="12">
        <f>IF(RZS_S[[#This Row],[名前]]="","",(100+((VLOOKUP(RZS_S[[#This Row],[No用]],Q_Stat[],28,FALSE)-Statistics100!O$59)*5)/Statistics100!O$66))</f>
        <v>103.17406941268744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108.09387700235298</v>
      </c>
    </row>
    <row r="43" spans="1:24" x14ac:dyDescent="0.35">
      <c r="A43" t="str">
        <f>IFERROR(Q_S[[#This Row],[No.]],"")</f>
        <v>190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IF(RZS_S[[#This Row],[名前]]="","",(100+((VLOOKUP(RZS_S[[#This Row],[No用]],Q_Stat[],13,FALSE)-Statistics100!B$59)*5)/Statistics100!B$66))</f>
        <v>98.773654999643483</v>
      </c>
      <c r="J43" s="12">
        <f>IF(RZS_S[[#This Row],[名前]]="","",(100+((VLOOKUP(RZS_S[[#This Row],[No用]],Q_Stat[],14,FALSE)-Statistics100!C$59)*5)/Statistics100!C$66))</f>
        <v>99.206482646828135</v>
      </c>
      <c r="K43" s="12">
        <f>IF(RZS_S[[#This Row],[名前]]="","",(100+((VLOOKUP(RZS_S[[#This Row],[No用]],Q_Stat[],15,FALSE)-Statistics100!D$59)*5)/Statistics100!D$66))</f>
        <v>98.412965293656271</v>
      </c>
      <c r="L43" s="12">
        <f>IF(RZS_S[[#This Row],[名前]]="","",(100+((VLOOKUP(RZS_S[[#This Row],[No用]],Q_Stat[],16,FALSE)-Statistics100!E$59)*5)/Statistics100!E$66))</f>
        <v>100</v>
      </c>
      <c r="M43" s="12">
        <f>IF(RZS_S[[#This Row],[名前]]="","",(100+((VLOOKUP(RZS_S[[#This Row],[No用]],Q_Stat[],17,FALSE)-Statistics100!F$59)*5)/Statistics100!F$66))</f>
        <v>100</v>
      </c>
      <c r="N43" s="12">
        <f>IF(RZS_S[[#This Row],[名前]]="","",(100+((VLOOKUP(RZS_S[[#This Row],[No用]],Q_Stat[],18,FALSE)-Statistics100!G$59)*5)/Statistics100!G$66))</f>
        <v>96.14577285602239</v>
      </c>
      <c r="O43" s="12">
        <f>IF(RZS_S[[#This Row],[名前]]="","",(100+((VLOOKUP(RZS_S[[#This Row],[No用]],Q_Stat[],19,FALSE)-Statistics100!H$59)*5)/Statistics100!H$66))</f>
        <v>103.37244875098041</v>
      </c>
      <c r="P43" s="12">
        <f>IF(RZS_S[[#This Row],[名前]]="","",(100+((VLOOKUP(RZS_S[[#This Row],[No用]],Q_Stat[],20,FALSE)-Statistics100!I$59)*5)/Statistics100!I$66))</f>
        <v>106.74489750196082</v>
      </c>
      <c r="Q43" s="12">
        <f>IF(RZS_S[[#This Row],[名前]]="","",(100+((VLOOKUP(RZS_S[[#This Row],[No用]],Q_Stat[],21,FALSE)-Statistics100!J$59)*5)/Statistics100!J$66))</f>
        <v>100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100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99.481161730618396</v>
      </c>
      <c r="V43" s="12">
        <f>IF(RZS_S[[#This Row],[名前]]="","",(100+((VLOOKUP(RZS_S[[#This Row],[No用]],Q_Stat[],28,FALSE)-Statistics100!O$59)*5)/Statistics100!O$66))</f>
        <v>98.412965293656271</v>
      </c>
      <c r="W43" s="12">
        <f>IF(RZS_S[[#This Row],[名前]]="","",(100+((VLOOKUP(RZS_S[[#This Row],[No用]],Q_Stat[],29,FALSE)-Statistics100!P$59)*5)/Statistics100!P$66))</f>
        <v>101.34897950039216</v>
      </c>
      <c r="X43" s="12">
        <f>IF(RZS_S[[#This Row],[名前]]="","",(100+((VLOOKUP(RZS_S[[#This Row],[No用]],Q_Stat[],30,FALSE)-Statistics100!Q$59)*5)/Statistics100!Q$66))</f>
        <v>98.651020499607839</v>
      </c>
    </row>
    <row r="44" spans="1:24" x14ac:dyDescent="0.35">
      <c r="A44" t="str">
        <f>IFERROR(Q_S[[#This Row],[No.]],"")</f>
        <v>210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IF(RZS_S[[#This Row],[名前]]="","",(100+((VLOOKUP(RZS_S[[#This Row],[No用]],Q_Stat[],13,FALSE)-Statistics100!B$37)*5)/Statistics100!B$44))</f>
        <v>99.054296231715583</v>
      </c>
      <c r="J44" s="12">
        <f>IF(RZS_S[[#This Row],[名前]]="","",(100+((VLOOKUP(RZS_S[[#This Row],[No用]],Q_Stat[],14,FALSE)-Statistics100!C$37)*5)/Statistics100!C$44))</f>
        <v>99.8776690391459</v>
      </c>
      <c r="K44" s="12">
        <f>IF(RZS_S[[#This Row],[名前]]="","",(100+((VLOOKUP(RZS_S[[#This Row],[No用]],Q_Stat[],15,FALSE)-Statistics100!D$37)*5)/Statistics100!D$44))</f>
        <v>115.34561870929548</v>
      </c>
      <c r="L44" s="12">
        <f>IF(RZS_S[[#This Row],[名前]]="","",(100+((VLOOKUP(RZS_S[[#This Row],[No用]],Q_Stat[],16,FALSE)-Statistics100!E$37)*5)/Statistics100!E$44))</f>
        <v>99.991624535542428</v>
      </c>
      <c r="M44" s="12">
        <f>IF(RZS_S[[#This Row],[名前]]="","",(100+((VLOOKUP(RZS_S[[#This Row],[No用]],Q_Stat[],17,FALSE)-Statistics100!F$37)*5)/Statistics100!F$44))</f>
        <v>98.4375</v>
      </c>
      <c r="N44" s="12">
        <f>IF(RZS_S[[#This Row],[名前]]="","",(100+((VLOOKUP(RZS_S[[#This Row],[No用]],Q_Stat[],18,FALSE)-Statistics100!G$37)*5)/Statistics100!G$44))</f>
        <v>97.48332192952445</v>
      </c>
      <c r="O44" s="12">
        <f>IF(RZS_S[[#This Row],[名前]]="","",(100+((VLOOKUP(RZS_S[[#This Row],[No用]],Q_Stat[],19,FALSE)-Statistics100!H$37)*5)/Statistics100!H$44))</f>
        <v>97.801353013530118</v>
      </c>
      <c r="P44" s="12">
        <f>IF(RZS_S[[#This Row],[名前]]="","",(100+((VLOOKUP(RZS_S[[#This Row],[No用]],Q_Stat[],20,FALSE)-Statistics100!I$37)*5)/Statistics100!I$44))</f>
        <v>99.47588406234668</v>
      </c>
      <c r="Q44" s="12">
        <f>IF(RZS_S[[#This Row],[名前]]="","",(100+((VLOOKUP(RZS_S[[#This Row],[No用]],Q_Stat[],21,FALSE)-Statistics100!J$37)*5)/Statistics100!J$44))</f>
        <v>99.919022379269734</v>
      </c>
      <c r="R44" s="12">
        <f>IF(RZS_S[[#This Row],[名前]]="","",(100+((VLOOKUP(RZS_S[[#This Row],[No用]],Q_Stat[],22,FALSE)-Statistics100!K$37)*5)/Statistics100!K$44))</f>
        <v>102.86843474866635</v>
      </c>
      <c r="S44" s="12">
        <f>IF(RZS_S[[#This Row],[名前]]="","",(100+((VLOOKUP(RZS_S[[#This Row],[No用]],Q_Stat[],25,FALSE)-Statistics100!L$37)*5)/Statistics100!L$44))</f>
        <v>99.929089309549809</v>
      </c>
      <c r="T44" s="12">
        <f>IF(RZS_S[[#This Row],[名前]]="","",(100+((VLOOKUP(RZS_S[[#This Row],[No用]],Q_Stat[],26,FALSE)-Statistics100!M$37)*5)/Statistics100!M$44))</f>
        <v>99.24491025984463</v>
      </c>
      <c r="U44" s="12">
        <f>IF(RZS_S[[#This Row],[名前]]="","",(100+((VLOOKUP(RZS_S[[#This Row],[No用]],Q_Stat[],27,FALSE)-Statistics100!N$37)*5)/Statistics100!N$44))</f>
        <v>99.870023138350405</v>
      </c>
      <c r="V44" s="12">
        <f>IF(RZS_S[[#This Row],[名前]]="","",(100+((VLOOKUP(RZS_S[[#This Row],[No用]],Q_Stat[],28,FALSE)-Statistics100!O$37)*5)/Statistics100!O$44))</f>
        <v>115.34561870929548</v>
      </c>
      <c r="W44" s="12">
        <f>IF(RZS_S[[#This Row],[名前]]="","",(100+((VLOOKUP(RZS_S[[#This Row],[No用]],Q_Stat[],29,FALSE)-Statistics100!P$37)*5)/Statistics100!P$44))</f>
        <v>99.550829102013282</v>
      </c>
      <c r="X44" s="12">
        <f>IF(RZS_S[[#This Row],[名前]]="","",(100+((VLOOKUP(RZS_S[[#This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A35:G43 A44:H44 H35:H43 I2:X44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5" sqref="A5:XFD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52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53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60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75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95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114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120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135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140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158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170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181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191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202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0:H20 A2:H2 A3:H3 A4:H4 A5:H5 A6:H6 A7:H7 A8:H8 A9:H9 A10:H10 A11:H11 A12:H12 A13:H13 A14:H14 A15:H15 A16:H16 A17:H17 A18:H18 A19:H19 I2:X20 C21:X21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5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767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770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776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840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841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842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791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788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742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714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735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766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804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805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806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810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811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844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814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816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846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817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847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746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762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730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750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729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719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716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726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720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715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756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732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747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818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819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821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711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722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849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854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883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896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917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962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992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994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1038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1040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1046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1072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1081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1108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1157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1163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1170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1172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1175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721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774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775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763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838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780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786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789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790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794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723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755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799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809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718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813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845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731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745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736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739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881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885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887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902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910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920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925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932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937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942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952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980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990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996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1002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1013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1039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1050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1069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1075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1077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1078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1114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1125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1134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1142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1144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1168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1182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427</v>
      </c>
      <c r="B146" s="9" t="s">
        <v>773</v>
      </c>
      <c r="C146" t="s">
        <v>216</v>
      </c>
      <c r="D146" t="s">
        <v>218</v>
      </c>
      <c r="E146" t="s">
        <v>23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735</v>
      </c>
      <c r="M146">
        <v>124</v>
      </c>
      <c r="N146">
        <v>124</v>
      </c>
      <c r="O146">
        <v>110</v>
      </c>
      <c r="P146">
        <v>119</v>
      </c>
      <c r="Q146">
        <v>97</v>
      </c>
      <c r="R146">
        <v>118</v>
      </c>
      <c r="S146">
        <v>112</v>
      </c>
      <c r="T146">
        <v>112</v>
      </c>
      <c r="U146">
        <v>111</v>
      </c>
      <c r="V146">
        <v>29</v>
      </c>
      <c r="W146">
        <v>477</v>
      </c>
      <c r="X146">
        <v>453</v>
      </c>
      <c r="Y146">
        <v>1056</v>
      </c>
      <c r="Z146">
        <v>221</v>
      </c>
      <c r="AA146">
        <v>340</v>
      </c>
      <c r="AB146">
        <v>110</v>
      </c>
      <c r="AC146">
        <v>223</v>
      </c>
      <c r="AD146">
        <v>230</v>
      </c>
      <c r="AE146" t="s">
        <v>426</v>
      </c>
    </row>
    <row r="147" spans="1:31" x14ac:dyDescent="0.35">
      <c r="A147" t="s">
        <v>1070</v>
      </c>
      <c r="B147" s="9" t="s">
        <v>768</v>
      </c>
      <c r="C147" t="s">
        <v>1048</v>
      </c>
      <c r="D147" t="s">
        <v>218</v>
      </c>
      <c r="E147" t="s">
        <v>24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800</v>
      </c>
      <c r="M147">
        <v>133</v>
      </c>
      <c r="N147">
        <v>125</v>
      </c>
      <c r="O147">
        <v>114</v>
      </c>
      <c r="P147">
        <v>118</v>
      </c>
      <c r="Q147">
        <v>97</v>
      </c>
      <c r="R147">
        <v>123</v>
      </c>
      <c r="S147">
        <v>116</v>
      </c>
      <c r="T147">
        <v>120</v>
      </c>
      <c r="U147">
        <v>115</v>
      </c>
      <c r="V147">
        <v>29</v>
      </c>
      <c r="W147">
        <v>490</v>
      </c>
      <c r="X147">
        <v>474</v>
      </c>
      <c r="Y147">
        <v>1090</v>
      </c>
      <c r="Z147">
        <v>230</v>
      </c>
      <c r="AA147">
        <v>340</v>
      </c>
      <c r="AB147">
        <v>114</v>
      </c>
      <c r="AC147">
        <v>231</v>
      </c>
      <c r="AD147">
        <v>243</v>
      </c>
      <c r="AE147" t="s">
        <v>426</v>
      </c>
    </row>
    <row r="148" spans="1:31" x14ac:dyDescent="0.35">
      <c r="A148" t="s">
        <v>431</v>
      </c>
      <c r="B148" s="9" t="s">
        <v>771</v>
      </c>
      <c r="C148" t="s">
        <v>391</v>
      </c>
      <c r="D148" t="s">
        <v>220</v>
      </c>
      <c r="E148" t="s">
        <v>28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766</v>
      </c>
      <c r="M148">
        <v>116</v>
      </c>
      <c r="N148">
        <v>118</v>
      </c>
      <c r="O148">
        <v>113</v>
      </c>
      <c r="P148">
        <v>121</v>
      </c>
      <c r="Q148">
        <v>99</v>
      </c>
      <c r="R148">
        <v>114</v>
      </c>
      <c r="S148">
        <v>121</v>
      </c>
      <c r="T148">
        <v>117</v>
      </c>
      <c r="U148">
        <v>115</v>
      </c>
      <c r="V148">
        <v>41</v>
      </c>
      <c r="W148">
        <v>468</v>
      </c>
      <c r="X148">
        <v>467</v>
      </c>
      <c r="Y148">
        <v>1075</v>
      </c>
      <c r="Z148">
        <v>215</v>
      </c>
      <c r="AA148">
        <v>338</v>
      </c>
      <c r="AB148">
        <v>113</v>
      </c>
      <c r="AC148">
        <v>236</v>
      </c>
      <c r="AD148">
        <v>231</v>
      </c>
      <c r="AE148" t="s">
        <v>430</v>
      </c>
    </row>
    <row r="149" spans="1:31" x14ac:dyDescent="0.35">
      <c r="A149" t="s">
        <v>1076</v>
      </c>
      <c r="B149" s="9" t="s">
        <v>772</v>
      </c>
      <c r="C149" t="s">
        <v>1074</v>
      </c>
      <c r="D149" t="s">
        <v>220</v>
      </c>
      <c r="E149" t="s">
        <v>23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114</v>
      </c>
      <c r="N149">
        <v>119</v>
      </c>
      <c r="O149">
        <v>111</v>
      </c>
      <c r="P149">
        <v>122</v>
      </c>
      <c r="Q149">
        <v>99</v>
      </c>
      <c r="R149">
        <v>113</v>
      </c>
      <c r="S149">
        <v>123</v>
      </c>
      <c r="T149">
        <v>116</v>
      </c>
      <c r="U149">
        <v>117</v>
      </c>
      <c r="V149">
        <v>41</v>
      </c>
      <c r="W149">
        <v>466</v>
      </c>
      <c r="X149">
        <v>469</v>
      </c>
      <c r="Y149">
        <v>1075</v>
      </c>
      <c r="Z149">
        <v>213</v>
      </c>
      <c r="AA149">
        <v>340</v>
      </c>
      <c r="AB149">
        <v>111</v>
      </c>
      <c r="AC149">
        <v>240</v>
      </c>
      <c r="AD149">
        <v>229</v>
      </c>
      <c r="AE149" t="s">
        <v>430</v>
      </c>
    </row>
    <row r="150" spans="1:31" x14ac:dyDescent="0.35">
      <c r="A150" t="s">
        <v>438</v>
      </c>
      <c r="B150" s="9" t="s">
        <v>836</v>
      </c>
      <c r="C150" t="s">
        <v>208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755</v>
      </c>
      <c r="M150">
        <v>114</v>
      </c>
      <c r="N150">
        <v>118</v>
      </c>
      <c r="O150">
        <v>130</v>
      </c>
      <c r="P150">
        <v>132</v>
      </c>
      <c r="Q150">
        <v>101</v>
      </c>
      <c r="R150">
        <v>114</v>
      </c>
      <c r="S150">
        <v>118</v>
      </c>
      <c r="T150">
        <v>114</v>
      </c>
      <c r="U150">
        <v>116</v>
      </c>
      <c r="V150">
        <v>41</v>
      </c>
      <c r="W150">
        <v>494</v>
      </c>
      <c r="X150">
        <v>462</v>
      </c>
      <c r="Y150">
        <v>1098</v>
      </c>
      <c r="Z150">
        <v>215</v>
      </c>
      <c r="AA150">
        <v>351</v>
      </c>
      <c r="AB150">
        <v>130</v>
      </c>
      <c r="AC150">
        <v>234</v>
      </c>
      <c r="AD150">
        <v>228</v>
      </c>
      <c r="AE150" t="s">
        <v>437</v>
      </c>
    </row>
    <row r="151" spans="1:31" x14ac:dyDescent="0.35">
      <c r="A151" t="s">
        <v>439</v>
      </c>
      <c r="B151" s="9" t="s">
        <v>837</v>
      </c>
      <c r="C151" t="s">
        <v>209</v>
      </c>
      <c r="D151" t="s">
        <v>39</v>
      </c>
      <c r="E151" t="s">
        <v>28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112</v>
      </c>
      <c r="N151">
        <v>118</v>
      </c>
      <c r="O151">
        <v>132</v>
      </c>
      <c r="P151">
        <v>132</v>
      </c>
      <c r="Q151">
        <v>101</v>
      </c>
      <c r="R151">
        <v>112</v>
      </c>
      <c r="S151">
        <v>120</v>
      </c>
      <c r="T151">
        <v>112</v>
      </c>
      <c r="U151">
        <v>118</v>
      </c>
      <c r="V151">
        <v>41</v>
      </c>
      <c r="W151">
        <v>494</v>
      </c>
      <c r="X151">
        <v>462</v>
      </c>
      <c r="Y151">
        <v>1098</v>
      </c>
      <c r="Z151">
        <v>213</v>
      </c>
      <c r="AA151">
        <v>351</v>
      </c>
      <c r="AB151">
        <v>132</v>
      </c>
      <c r="AC151">
        <v>238</v>
      </c>
      <c r="AD151">
        <v>224</v>
      </c>
      <c r="AE151" t="s">
        <v>437</v>
      </c>
    </row>
    <row r="152" spans="1:31" x14ac:dyDescent="0.35">
      <c r="A152" t="s">
        <v>1020</v>
      </c>
      <c r="B152" s="9" t="s">
        <v>777</v>
      </c>
      <c r="C152" t="s">
        <v>1000</v>
      </c>
      <c r="D152" t="s">
        <v>39</v>
      </c>
      <c r="E152" t="s">
        <v>23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800</v>
      </c>
      <c r="M152">
        <v>115</v>
      </c>
      <c r="N152">
        <v>120</v>
      </c>
      <c r="O152">
        <v>133</v>
      </c>
      <c r="P152">
        <v>134</v>
      </c>
      <c r="Q152">
        <v>101</v>
      </c>
      <c r="R152">
        <v>115</v>
      </c>
      <c r="S152">
        <v>118</v>
      </c>
      <c r="T152">
        <v>115</v>
      </c>
      <c r="U152">
        <v>116</v>
      </c>
      <c r="V152">
        <v>41</v>
      </c>
      <c r="W152">
        <v>502</v>
      </c>
      <c r="X152">
        <v>464</v>
      </c>
      <c r="Y152">
        <v>1108</v>
      </c>
      <c r="Z152">
        <v>216</v>
      </c>
      <c r="AA152">
        <v>355</v>
      </c>
      <c r="AB152">
        <v>133</v>
      </c>
      <c r="AC152">
        <v>234</v>
      </c>
      <c r="AD152">
        <v>230</v>
      </c>
      <c r="AE152" t="s">
        <v>437</v>
      </c>
    </row>
    <row r="153" spans="1:31" x14ac:dyDescent="0.35">
      <c r="A153" t="s">
        <v>442</v>
      </c>
      <c r="B153" s="9" t="s">
        <v>757</v>
      </c>
      <c r="C153" t="s">
        <v>208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129</v>
      </c>
      <c r="N153">
        <v>122</v>
      </c>
      <c r="O153">
        <v>115</v>
      </c>
      <c r="P153">
        <v>120</v>
      </c>
      <c r="Q153">
        <v>101</v>
      </c>
      <c r="R153">
        <v>132</v>
      </c>
      <c r="S153">
        <v>118</v>
      </c>
      <c r="T153">
        <v>119</v>
      </c>
      <c r="U153">
        <v>116</v>
      </c>
      <c r="V153">
        <v>36</v>
      </c>
      <c r="W153">
        <v>486</v>
      </c>
      <c r="X153">
        <v>485</v>
      </c>
      <c r="Y153">
        <v>1108</v>
      </c>
      <c r="Z153">
        <v>230</v>
      </c>
      <c r="AA153">
        <v>343</v>
      </c>
      <c r="AB153">
        <v>115</v>
      </c>
      <c r="AC153">
        <v>234</v>
      </c>
      <c r="AD153">
        <v>251</v>
      </c>
      <c r="AE153" t="s">
        <v>441</v>
      </c>
    </row>
    <row r="154" spans="1:31" x14ac:dyDescent="0.35">
      <c r="A154" t="s">
        <v>443</v>
      </c>
      <c r="B154" s="9" t="s">
        <v>778</v>
      </c>
      <c r="C154" t="s">
        <v>209</v>
      </c>
      <c r="D154" t="s">
        <v>40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131</v>
      </c>
      <c r="N154">
        <v>125</v>
      </c>
      <c r="O154">
        <v>115</v>
      </c>
      <c r="P154">
        <v>123</v>
      </c>
      <c r="Q154">
        <v>101</v>
      </c>
      <c r="R154">
        <v>129</v>
      </c>
      <c r="S154">
        <v>118</v>
      </c>
      <c r="T154">
        <v>116</v>
      </c>
      <c r="U154">
        <v>114</v>
      </c>
      <c r="V154">
        <v>36</v>
      </c>
      <c r="W154">
        <v>494</v>
      </c>
      <c r="X154">
        <v>477</v>
      </c>
      <c r="Y154">
        <v>1108</v>
      </c>
      <c r="Z154">
        <v>232</v>
      </c>
      <c r="AA154">
        <v>349</v>
      </c>
      <c r="AB154">
        <v>115</v>
      </c>
      <c r="AC154">
        <v>232</v>
      </c>
      <c r="AD154">
        <v>245</v>
      </c>
      <c r="AE154" t="s">
        <v>441</v>
      </c>
    </row>
    <row r="155" spans="1:31" x14ac:dyDescent="0.35">
      <c r="A155" t="s">
        <v>1003</v>
      </c>
      <c r="B155" s="9" t="s">
        <v>839</v>
      </c>
      <c r="C155" t="s">
        <v>1000</v>
      </c>
      <c r="D155" t="s">
        <v>40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132</v>
      </c>
      <c r="N155">
        <v>119</v>
      </c>
      <c r="O155">
        <v>115</v>
      </c>
      <c r="P155">
        <v>120</v>
      </c>
      <c r="Q155">
        <v>101</v>
      </c>
      <c r="R155">
        <v>129</v>
      </c>
      <c r="S155">
        <v>121</v>
      </c>
      <c r="T155">
        <v>117</v>
      </c>
      <c r="U155">
        <v>118</v>
      </c>
      <c r="V155">
        <v>36</v>
      </c>
      <c r="W155">
        <v>486</v>
      </c>
      <c r="X155">
        <v>485</v>
      </c>
      <c r="Y155">
        <v>1108</v>
      </c>
      <c r="Z155">
        <v>233</v>
      </c>
      <c r="AA155">
        <v>340</v>
      </c>
      <c r="AB155">
        <v>115</v>
      </c>
      <c r="AC155">
        <v>239</v>
      </c>
      <c r="AD155">
        <v>246</v>
      </c>
      <c r="AE155" t="s">
        <v>441</v>
      </c>
    </row>
    <row r="156" spans="1:31" x14ac:dyDescent="0.35">
      <c r="A156" t="s">
        <v>446</v>
      </c>
      <c r="B156" s="9" t="s">
        <v>779</v>
      </c>
      <c r="C156" t="s">
        <v>391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723</v>
      </c>
      <c r="M156">
        <v>120</v>
      </c>
      <c r="N156">
        <v>115</v>
      </c>
      <c r="O156">
        <v>114</v>
      </c>
      <c r="P156">
        <v>119</v>
      </c>
      <c r="Q156">
        <v>97</v>
      </c>
      <c r="R156">
        <v>126</v>
      </c>
      <c r="S156">
        <v>116</v>
      </c>
      <c r="T156">
        <v>118</v>
      </c>
      <c r="U156">
        <v>116</v>
      </c>
      <c r="V156">
        <v>27</v>
      </c>
      <c r="W156">
        <v>468</v>
      </c>
      <c r="X156">
        <v>476</v>
      </c>
      <c r="Y156">
        <v>1068</v>
      </c>
      <c r="Z156">
        <v>217</v>
      </c>
      <c r="AA156">
        <v>331</v>
      </c>
      <c r="AB156">
        <v>114</v>
      </c>
      <c r="AC156">
        <v>232</v>
      </c>
      <c r="AD156">
        <v>244</v>
      </c>
      <c r="AE156" t="s">
        <v>445</v>
      </c>
    </row>
    <row r="157" spans="1:31" x14ac:dyDescent="0.35">
      <c r="A157" t="s">
        <v>1143</v>
      </c>
      <c r="B157" s="9" t="s">
        <v>753</v>
      </c>
      <c r="C157" t="s">
        <v>1121</v>
      </c>
      <c r="D157" t="s">
        <v>41</v>
      </c>
      <c r="E157" t="s">
        <v>28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123</v>
      </c>
      <c r="N157">
        <v>113</v>
      </c>
      <c r="O157">
        <v>114</v>
      </c>
      <c r="P157">
        <v>117</v>
      </c>
      <c r="Q157">
        <v>97</v>
      </c>
      <c r="R157">
        <v>128</v>
      </c>
      <c r="S157">
        <v>115</v>
      </c>
      <c r="T157">
        <v>120</v>
      </c>
      <c r="U157">
        <v>115</v>
      </c>
      <c r="V157">
        <v>27</v>
      </c>
      <c r="W157">
        <v>467</v>
      </c>
      <c r="X157">
        <v>478</v>
      </c>
      <c r="Y157">
        <v>1069</v>
      </c>
      <c r="Z157">
        <v>220</v>
      </c>
      <c r="AA157">
        <v>327</v>
      </c>
      <c r="AB157">
        <v>114</v>
      </c>
      <c r="AC157">
        <v>230</v>
      </c>
      <c r="AD157">
        <v>248</v>
      </c>
      <c r="AE157" t="s">
        <v>445</v>
      </c>
    </row>
    <row r="158" spans="1:31" x14ac:dyDescent="0.35">
      <c r="A158" t="s">
        <v>1005</v>
      </c>
      <c r="B158" s="9" t="s">
        <v>781</v>
      </c>
      <c r="C158" t="s">
        <v>1000</v>
      </c>
      <c r="D158" t="s">
        <v>42</v>
      </c>
      <c r="E158" t="s">
        <v>28</v>
      </c>
      <c r="F158" t="s">
        <v>21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744</v>
      </c>
      <c r="M158">
        <v>119</v>
      </c>
      <c r="N158">
        <v>112</v>
      </c>
      <c r="O158">
        <v>119</v>
      </c>
      <c r="P158">
        <v>125</v>
      </c>
      <c r="Q158">
        <v>101</v>
      </c>
      <c r="R158">
        <v>111</v>
      </c>
      <c r="S158">
        <v>133</v>
      </c>
      <c r="T158">
        <v>117</v>
      </c>
      <c r="U158">
        <v>125</v>
      </c>
      <c r="V158">
        <v>36</v>
      </c>
      <c r="W158">
        <v>475</v>
      </c>
      <c r="X158">
        <v>486</v>
      </c>
      <c r="Y158">
        <v>1098</v>
      </c>
      <c r="Z158">
        <v>220</v>
      </c>
      <c r="AA158">
        <v>338</v>
      </c>
      <c r="AB158">
        <v>119</v>
      </c>
      <c r="AC158">
        <v>258</v>
      </c>
      <c r="AD158">
        <v>228</v>
      </c>
      <c r="AE158" t="s">
        <v>448</v>
      </c>
    </row>
    <row r="159" spans="1:31" x14ac:dyDescent="0.35">
      <c r="A159" t="s">
        <v>1167</v>
      </c>
      <c r="B159" s="9" t="s">
        <v>782</v>
      </c>
      <c r="C159" t="s">
        <v>1164</v>
      </c>
      <c r="D159" t="s">
        <v>43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714</v>
      </c>
      <c r="M159">
        <v>120</v>
      </c>
      <c r="N159">
        <v>116</v>
      </c>
      <c r="O159">
        <v>115</v>
      </c>
      <c r="P159">
        <v>116</v>
      </c>
      <c r="Q159">
        <v>97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467</v>
      </c>
      <c r="X159">
        <v>467</v>
      </c>
      <c r="Y159">
        <v>1060</v>
      </c>
      <c r="Z159">
        <v>217</v>
      </c>
      <c r="AA159">
        <v>329</v>
      </c>
      <c r="AB159">
        <v>115</v>
      </c>
      <c r="AC159">
        <v>233</v>
      </c>
      <c r="AD159">
        <v>234</v>
      </c>
      <c r="AE159" t="s">
        <v>450</v>
      </c>
    </row>
    <row r="160" spans="1:31" x14ac:dyDescent="0.35">
      <c r="A160" t="s">
        <v>943</v>
      </c>
      <c r="B160" s="9" t="s">
        <v>784</v>
      </c>
      <c r="C160" t="s">
        <v>934</v>
      </c>
      <c r="D160" t="s">
        <v>44</v>
      </c>
      <c r="E160" t="s">
        <v>28</v>
      </c>
      <c r="F160" t="s">
        <v>26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118</v>
      </c>
      <c r="N160">
        <v>115</v>
      </c>
      <c r="O160">
        <v>114</v>
      </c>
      <c r="P160">
        <v>119</v>
      </c>
      <c r="Q160">
        <v>97</v>
      </c>
      <c r="R160">
        <v>124</v>
      </c>
      <c r="S160">
        <v>116</v>
      </c>
      <c r="T160">
        <v>119</v>
      </c>
      <c r="U160">
        <v>116</v>
      </c>
      <c r="V160">
        <v>36</v>
      </c>
      <c r="W160">
        <v>466</v>
      </c>
      <c r="X160">
        <v>475</v>
      </c>
      <c r="Y160">
        <v>1074</v>
      </c>
      <c r="Z160">
        <v>215</v>
      </c>
      <c r="AA160">
        <v>331</v>
      </c>
      <c r="AB160">
        <v>114</v>
      </c>
      <c r="AC160">
        <v>232</v>
      </c>
      <c r="AD160">
        <v>243</v>
      </c>
      <c r="AE160" t="s">
        <v>452</v>
      </c>
    </row>
    <row r="161" spans="1:31" x14ac:dyDescent="0.35">
      <c r="A161" t="s">
        <v>940</v>
      </c>
      <c r="B161" s="9" t="s">
        <v>787</v>
      </c>
      <c r="C161" t="s">
        <v>934</v>
      </c>
      <c r="D161" t="s">
        <v>45</v>
      </c>
      <c r="E161" t="s">
        <v>28</v>
      </c>
      <c r="F161" t="s">
        <v>25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126</v>
      </c>
      <c r="N161">
        <v>122</v>
      </c>
      <c r="O161">
        <v>115</v>
      </c>
      <c r="P161">
        <v>123</v>
      </c>
      <c r="Q161">
        <v>101</v>
      </c>
      <c r="R161">
        <v>116</v>
      </c>
      <c r="S161">
        <v>117</v>
      </c>
      <c r="T161">
        <v>118</v>
      </c>
      <c r="U161">
        <v>116</v>
      </c>
      <c r="V161">
        <v>29</v>
      </c>
      <c r="W161">
        <v>486</v>
      </c>
      <c r="X161">
        <v>467</v>
      </c>
      <c r="Y161">
        <v>1083</v>
      </c>
      <c r="Z161">
        <v>227</v>
      </c>
      <c r="AA161">
        <v>346</v>
      </c>
      <c r="AB161">
        <v>115</v>
      </c>
      <c r="AC161">
        <v>233</v>
      </c>
      <c r="AD161">
        <v>234</v>
      </c>
      <c r="AE161" t="s">
        <v>454</v>
      </c>
    </row>
    <row r="162" spans="1:31" x14ac:dyDescent="0.35">
      <c r="A162" t="s">
        <v>462</v>
      </c>
      <c r="B162" s="9" t="s">
        <v>792</v>
      </c>
      <c r="C162" t="s">
        <v>208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735</v>
      </c>
      <c r="M162">
        <v>128</v>
      </c>
      <c r="N162">
        <v>114</v>
      </c>
      <c r="O162">
        <v>113</v>
      </c>
      <c r="P162">
        <v>123</v>
      </c>
      <c r="Q162">
        <v>97</v>
      </c>
      <c r="R162">
        <v>133</v>
      </c>
      <c r="S162">
        <v>116</v>
      </c>
      <c r="T162">
        <v>119</v>
      </c>
      <c r="U162">
        <v>116</v>
      </c>
      <c r="V162">
        <v>31</v>
      </c>
      <c r="W162">
        <v>478</v>
      </c>
      <c r="X162">
        <v>484</v>
      </c>
      <c r="Y162">
        <v>1090</v>
      </c>
      <c r="Z162">
        <v>225</v>
      </c>
      <c r="AA162">
        <v>334</v>
      </c>
      <c r="AB162">
        <v>113</v>
      </c>
      <c r="AC162">
        <v>232</v>
      </c>
      <c r="AD162">
        <v>252</v>
      </c>
      <c r="AE162" t="s">
        <v>461</v>
      </c>
    </row>
    <row r="163" spans="1:31" x14ac:dyDescent="0.35">
      <c r="A163" t="s">
        <v>463</v>
      </c>
      <c r="B163" s="9" t="s">
        <v>793</v>
      </c>
      <c r="C163" t="s">
        <v>216</v>
      </c>
      <c r="D163" t="s">
        <v>48</v>
      </c>
      <c r="E163" t="s">
        <v>24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130</v>
      </c>
      <c r="N163">
        <v>114</v>
      </c>
      <c r="O163">
        <v>113</v>
      </c>
      <c r="P163">
        <v>123</v>
      </c>
      <c r="Q163">
        <v>97</v>
      </c>
      <c r="R163">
        <v>131</v>
      </c>
      <c r="S163">
        <v>116</v>
      </c>
      <c r="T163">
        <v>119</v>
      </c>
      <c r="U163">
        <v>116</v>
      </c>
      <c r="V163">
        <v>31</v>
      </c>
      <c r="W163">
        <v>480</v>
      </c>
      <c r="X163">
        <v>482</v>
      </c>
      <c r="Y163">
        <v>1090</v>
      </c>
      <c r="Z163">
        <v>227</v>
      </c>
      <c r="AA163">
        <v>334</v>
      </c>
      <c r="AB163">
        <v>113</v>
      </c>
      <c r="AC163">
        <v>232</v>
      </c>
      <c r="AD163">
        <v>250</v>
      </c>
      <c r="AE163" t="s">
        <v>461</v>
      </c>
    </row>
    <row r="164" spans="1:31" x14ac:dyDescent="0.35">
      <c r="A164" t="s">
        <v>466</v>
      </c>
      <c r="B164" s="9" t="s">
        <v>795</v>
      </c>
      <c r="C164" t="s">
        <v>208</v>
      </c>
      <c r="D164" t="s">
        <v>50</v>
      </c>
      <c r="E164" t="s">
        <v>28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127</v>
      </c>
      <c r="N164">
        <v>122</v>
      </c>
      <c r="O164">
        <v>115</v>
      </c>
      <c r="P164">
        <v>128</v>
      </c>
      <c r="Q164">
        <v>101</v>
      </c>
      <c r="R164">
        <v>128</v>
      </c>
      <c r="S164">
        <v>117</v>
      </c>
      <c r="T164">
        <v>119</v>
      </c>
      <c r="U164">
        <v>120</v>
      </c>
      <c r="V164">
        <v>36</v>
      </c>
      <c r="W164">
        <v>492</v>
      </c>
      <c r="X164">
        <v>484</v>
      </c>
      <c r="Y164">
        <v>1113</v>
      </c>
      <c r="Z164">
        <v>228</v>
      </c>
      <c r="AA164">
        <v>351</v>
      </c>
      <c r="AB164">
        <v>115</v>
      </c>
      <c r="AC164">
        <v>237</v>
      </c>
      <c r="AD164">
        <v>247</v>
      </c>
      <c r="AE164" t="s">
        <v>465</v>
      </c>
    </row>
    <row r="165" spans="1:31" x14ac:dyDescent="0.35">
      <c r="A165" t="s">
        <v>467</v>
      </c>
      <c r="B165" s="9" t="s">
        <v>796</v>
      </c>
      <c r="C165" t="s">
        <v>216</v>
      </c>
      <c r="D165" t="s">
        <v>50</v>
      </c>
      <c r="E165" t="s">
        <v>23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124</v>
      </c>
      <c r="N165">
        <v>119</v>
      </c>
      <c r="O165">
        <v>115</v>
      </c>
      <c r="P165">
        <v>126</v>
      </c>
      <c r="Q165">
        <v>101</v>
      </c>
      <c r="R165">
        <v>131</v>
      </c>
      <c r="S165">
        <v>120</v>
      </c>
      <c r="T165">
        <v>119</v>
      </c>
      <c r="U165">
        <v>122</v>
      </c>
      <c r="V165">
        <v>36</v>
      </c>
      <c r="W165">
        <v>484</v>
      </c>
      <c r="X165">
        <v>492</v>
      </c>
      <c r="Y165">
        <v>1113</v>
      </c>
      <c r="Z165">
        <v>225</v>
      </c>
      <c r="AA165">
        <v>346</v>
      </c>
      <c r="AB165">
        <v>115</v>
      </c>
      <c r="AC165">
        <v>242</v>
      </c>
      <c r="AD165">
        <v>250</v>
      </c>
      <c r="AE165" t="s">
        <v>465</v>
      </c>
    </row>
    <row r="166" spans="1:31" x14ac:dyDescent="0.35">
      <c r="A166" t="s">
        <v>1128</v>
      </c>
      <c r="B166" s="9" t="s">
        <v>797</v>
      </c>
      <c r="C166" t="s">
        <v>1121</v>
      </c>
      <c r="D166" t="s">
        <v>50</v>
      </c>
      <c r="E166" t="s">
        <v>24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130</v>
      </c>
      <c r="N166">
        <v>120</v>
      </c>
      <c r="O166">
        <v>115</v>
      </c>
      <c r="P166">
        <v>126</v>
      </c>
      <c r="Q166">
        <v>101</v>
      </c>
      <c r="R166">
        <v>130</v>
      </c>
      <c r="S166">
        <v>116</v>
      </c>
      <c r="T166">
        <v>121</v>
      </c>
      <c r="U166">
        <v>119</v>
      </c>
      <c r="V166">
        <v>39</v>
      </c>
      <c r="W166">
        <v>491</v>
      </c>
      <c r="X166">
        <v>486</v>
      </c>
      <c r="Y166">
        <v>1117</v>
      </c>
      <c r="Z166">
        <v>231</v>
      </c>
      <c r="AA166">
        <v>347</v>
      </c>
      <c r="AB166">
        <v>115</v>
      </c>
      <c r="AC166">
        <v>235</v>
      </c>
      <c r="AD166">
        <v>251</v>
      </c>
      <c r="AE166" t="s">
        <v>465</v>
      </c>
    </row>
    <row r="167" spans="1:31" x14ac:dyDescent="0.35">
      <c r="A167" t="s">
        <v>470</v>
      </c>
      <c r="B167" s="9" t="s">
        <v>785</v>
      </c>
      <c r="C167" t="s">
        <v>208</v>
      </c>
      <c r="D167" t="s">
        <v>384</v>
      </c>
      <c r="E167" t="s">
        <v>23</v>
      </c>
      <c r="F167" t="s">
        <v>31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735</v>
      </c>
      <c r="M167">
        <v>120</v>
      </c>
      <c r="N167">
        <v>121</v>
      </c>
      <c r="O167">
        <v>126</v>
      </c>
      <c r="P167">
        <v>124</v>
      </c>
      <c r="Q167">
        <v>97</v>
      </c>
      <c r="R167">
        <v>128</v>
      </c>
      <c r="S167">
        <v>117</v>
      </c>
      <c r="T167">
        <v>117</v>
      </c>
      <c r="U167">
        <v>117</v>
      </c>
      <c r="V167">
        <v>29</v>
      </c>
      <c r="W167">
        <v>491</v>
      </c>
      <c r="X167">
        <v>479</v>
      </c>
      <c r="Y167">
        <v>1096</v>
      </c>
      <c r="Z167">
        <v>217</v>
      </c>
      <c r="AA167">
        <v>342</v>
      </c>
      <c r="AB167">
        <v>126</v>
      </c>
      <c r="AC167">
        <v>234</v>
      </c>
      <c r="AD167">
        <v>245</v>
      </c>
      <c r="AE167" t="s">
        <v>469</v>
      </c>
    </row>
    <row r="168" spans="1:31" x14ac:dyDescent="0.35">
      <c r="A168" t="s">
        <v>850</v>
      </c>
      <c r="B168" s="9" t="s">
        <v>798</v>
      </c>
      <c r="C168" t="s">
        <v>701</v>
      </c>
      <c r="D168" t="s">
        <v>384</v>
      </c>
      <c r="E168" t="s">
        <v>24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122</v>
      </c>
      <c r="N168">
        <v>123</v>
      </c>
      <c r="O168">
        <v>126</v>
      </c>
      <c r="P168">
        <v>126</v>
      </c>
      <c r="Q168">
        <v>97</v>
      </c>
      <c r="R168">
        <v>126</v>
      </c>
      <c r="S168">
        <v>115</v>
      </c>
      <c r="T168">
        <v>116</v>
      </c>
      <c r="U168">
        <v>116</v>
      </c>
      <c r="V168">
        <v>29</v>
      </c>
      <c r="W168">
        <v>497</v>
      </c>
      <c r="X168">
        <v>473</v>
      </c>
      <c r="Y168">
        <v>1096</v>
      </c>
      <c r="Z168">
        <v>219</v>
      </c>
      <c r="AA168">
        <v>346</v>
      </c>
      <c r="AB168">
        <v>126</v>
      </c>
      <c r="AC168">
        <v>231</v>
      </c>
      <c r="AD168">
        <v>242</v>
      </c>
      <c r="AE168" t="s">
        <v>469</v>
      </c>
    </row>
    <row r="169" spans="1:31" x14ac:dyDescent="0.35">
      <c r="A169" t="s">
        <v>481</v>
      </c>
      <c r="B169" s="9" t="s">
        <v>800</v>
      </c>
      <c r="C169" t="s">
        <v>216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128</v>
      </c>
      <c r="N169">
        <v>130</v>
      </c>
      <c r="O169">
        <v>132</v>
      </c>
      <c r="P169">
        <v>130</v>
      </c>
      <c r="Q169">
        <v>101</v>
      </c>
      <c r="R169">
        <v>115</v>
      </c>
      <c r="S169">
        <v>116</v>
      </c>
      <c r="T169">
        <v>116</v>
      </c>
      <c r="U169">
        <v>116</v>
      </c>
      <c r="V169">
        <v>36</v>
      </c>
      <c r="W169">
        <v>520</v>
      </c>
      <c r="X169">
        <v>463</v>
      </c>
      <c r="Y169">
        <v>1120</v>
      </c>
      <c r="Z169">
        <v>229</v>
      </c>
      <c r="AA169">
        <v>361</v>
      </c>
      <c r="AB169">
        <v>132</v>
      </c>
      <c r="AC169">
        <v>232</v>
      </c>
      <c r="AD169">
        <v>231</v>
      </c>
      <c r="AE169" t="s">
        <v>480</v>
      </c>
    </row>
    <row r="170" spans="1:31" x14ac:dyDescent="0.35">
      <c r="A170" t="s">
        <v>918</v>
      </c>
      <c r="B170" s="9" t="s">
        <v>801</v>
      </c>
      <c r="C170" t="s">
        <v>914</v>
      </c>
      <c r="D170" t="s">
        <v>30</v>
      </c>
      <c r="E170" t="s">
        <v>28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130</v>
      </c>
      <c r="N170">
        <v>127</v>
      </c>
      <c r="O170">
        <v>135</v>
      </c>
      <c r="P170">
        <v>127</v>
      </c>
      <c r="Q170">
        <v>101</v>
      </c>
      <c r="R170">
        <v>118</v>
      </c>
      <c r="S170">
        <v>114</v>
      </c>
      <c r="T170">
        <v>119</v>
      </c>
      <c r="U170">
        <v>114</v>
      </c>
      <c r="V170">
        <v>36</v>
      </c>
      <c r="W170">
        <v>519</v>
      </c>
      <c r="X170">
        <v>465</v>
      </c>
      <c r="Y170">
        <v>1121</v>
      </c>
      <c r="Z170">
        <v>231</v>
      </c>
      <c r="AA170">
        <v>355</v>
      </c>
      <c r="AB170">
        <v>135</v>
      </c>
      <c r="AC170">
        <v>228</v>
      </c>
      <c r="AD170">
        <v>237</v>
      </c>
      <c r="AE170" t="s">
        <v>480</v>
      </c>
    </row>
    <row r="171" spans="1:31" x14ac:dyDescent="0.35">
      <c r="A171" t="s">
        <v>953</v>
      </c>
      <c r="B171" s="9" t="s">
        <v>802</v>
      </c>
      <c r="C171" t="s">
        <v>208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131</v>
      </c>
      <c r="N171">
        <v>127</v>
      </c>
      <c r="O171">
        <v>131</v>
      </c>
      <c r="P171">
        <v>127</v>
      </c>
      <c r="Q171">
        <v>101</v>
      </c>
      <c r="R171">
        <v>117</v>
      </c>
      <c r="S171">
        <v>116</v>
      </c>
      <c r="T171">
        <v>118</v>
      </c>
      <c r="U171">
        <v>116</v>
      </c>
      <c r="V171">
        <v>36</v>
      </c>
      <c r="W171">
        <v>516</v>
      </c>
      <c r="X171">
        <v>467</v>
      </c>
      <c r="Y171">
        <v>1120</v>
      </c>
      <c r="Z171">
        <v>232</v>
      </c>
      <c r="AA171">
        <v>355</v>
      </c>
      <c r="AB171">
        <v>131</v>
      </c>
      <c r="AC171">
        <v>232</v>
      </c>
      <c r="AD171">
        <v>235</v>
      </c>
      <c r="AE171" t="s">
        <v>480</v>
      </c>
    </row>
    <row r="172" spans="1:31" x14ac:dyDescent="0.35">
      <c r="A172" t="s">
        <v>1124</v>
      </c>
      <c r="B172" s="9" t="s">
        <v>769</v>
      </c>
      <c r="C172" t="s">
        <v>1121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129</v>
      </c>
      <c r="N172">
        <v>133</v>
      </c>
      <c r="O172">
        <v>134</v>
      </c>
      <c r="P172">
        <v>132</v>
      </c>
      <c r="Q172">
        <v>101</v>
      </c>
      <c r="R172">
        <v>115</v>
      </c>
      <c r="S172">
        <v>117</v>
      </c>
      <c r="T172">
        <v>116</v>
      </c>
      <c r="U172">
        <v>117</v>
      </c>
      <c r="V172">
        <v>36</v>
      </c>
      <c r="W172">
        <v>528</v>
      </c>
      <c r="X172">
        <v>465</v>
      </c>
      <c r="Y172">
        <v>1130</v>
      </c>
      <c r="Z172">
        <v>230</v>
      </c>
      <c r="AA172">
        <v>366</v>
      </c>
      <c r="AB172">
        <v>134</v>
      </c>
      <c r="AC172">
        <v>234</v>
      </c>
      <c r="AD172">
        <v>231</v>
      </c>
      <c r="AE172" t="s">
        <v>480</v>
      </c>
    </row>
    <row r="173" spans="1:31" x14ac:dyDescent="0.35">
      <c r="A173" t="s">
        <v>484</v>
      </c>
      <c r="B173" s="9" t="s">
        <v>744</v>
      </c>
      <c r="C173" t="s">
        <v>216</v>
      </c>
      <c r="D173" t="s">
        <v>32</v>
      </c>
      <c r="E173" t="s">
        <v>23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128</v>
      </c>
      <c r="N173">
        <v>124</v>
      </c>
      <c r="O173">
        <v>115</v>
      </c>
      <c r="P173">
        <v>123</v>
      </c>
      <c r="Q173">
        <v>101</v>
      </c>
      <c r="R173">
        <v>118</v>
      </c>
      <c r="S173">
        <v>116</v>
      </c>
      <c r="T173">
        <v>119</v>
      </c>
      <c r="U173">
        <v>117</v>
      </c>
      <c r="V173">
        <v>36</v>
      </c>
      <c r="W173">
        <v>490</v>
      </c>
      <c r="X173">
        <v>470</v>
      </c>
      <c r="Y173">
        <v>1097</v>
      </c>
      <c r="Z173">
        <v>229</v>
      </c>
      <c r="AA173">
        <v>348</v>
      </c>
      <c r="AB173">
        <v>115</v>
      </c>
      <c r="AC173">
        <v>233</v>
      </c>
      <c r="AD173">
        <v>237</v>
      </c>
      <c r="AE173" t="s">
        <v>483</v>
      </c>
    </row>
    <row r="174" spans="1:31" x14ac:dyDescent="0.35">
      <c r="A174" t="s">
        <v>955</v>
      </c>
      <c r="B174" s="9" t="s">
        <v>829</v>
      </c>
      <c r="C174" t="s">
        <v>208</v>
      </c>
      <c r="D174" t="s">
        <v>32</v>
      </c>
      <c r="E174" t="s">
        <v>24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127</v>
      </c>
      <c r="N174">
        <v>126</v>
      </c>
      <c r="O174">
        <v>114</v>
      </c>
      <c r="P174">
        <v>125</v>
      </c>
      <c r="Q174">
        <v>101</v>
      </c>
      <c r="R174">
        <v>116</v>
      </c>
      <c r="S174">
        <v>117</v>
      </c>
      <c r="T174">
        <v>117</v>
      </c>
      <c r="U174">
        <v>118</v>
      </c>
      <c r="V174">
        <v>36</v>
      </c>
      <c r="W174">
        <v>492</v>
      </c>
      <c r="X174">
        <v>468</v>
      </c>
      <c r="Y174">
        <v>1097</v>
      </c>
      <c r="Z174">
        <v>228</v>
      </c>
      <c r="AA174">
        <v>352</v>
      </c>
      <c r="AB174">
        <v>114</v>
      </c>
      <c r="AC174">
        <v>235</v>
      </c>
      <c r="AD174">
        <v>233</v>
      </c>
      <c r="AE174" t="s">
        <v>483</v>
      </c>
    </row>
    <row r="175" spans="1:31" x14ac:dyDescent="0.35">
      <c r="A175" t="s">
        <v>1055</v>
      </c>
      <c r="B175" s="9" t="s">
        <v>803</v>
      </c>
      <c r="C175" t="s">
        <v>1048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122</v>
      </c>
      <c r="O175">
        <v>114</v>
      </c>
      <c r="P175">
        <v>122</v>
      </c>
      <c r="Q175">
        <v>101</v>
      </c>
      <c r="R175">
        <v>120</v>
      </c>
      <c r="S175">
        <v>118</v>
      </c>
      <c r="T175">
        <v>120</v>
      </c>
      <c r="U175">
        <v>118</v>
      </c>
      <c r="V175">
        <v>36</v>
      </c>
      <c r="W175">
        <v>485</v>
      </c>
      <c r="X175">
        <v>476</v>
      </c>
      <c r="Y175">
        <v>1098</v>
      </c>
      <c r="Z175">
        <v>228</v>
      </c>
      <c r="AA175">
        <v>345</v>
      </c>
      <c r="AB175">
        <v>114</v>
      </c>
      <c r="AC175">
        <v>236</v>
      </c>
      <c r="AD175">
        <v>240</v>
      </c>
      <c r="AE175" t="s">
        <v>483</v>
      </c>
    </row>
    <row r="176" spans="1:31" x14ac:dyDescent="0.35">
      <c r="A176" t="s">
        <v>993</v>
      </c>
      <c r="B176" s="9" t="s">
        <v>843</v>
      </c>
      <c r="C176" t="s">
        <v>958</v>
      </c>
      <c r="D176" t="s">
        <v>33</v>
      </c>
      <c r="E176" t="s">
        <v>28</v>
      </c>
      <c r="F176" t="s">
        <v>26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742</v>
      </c>
      <c r="M176">
        <v>121</v>
      </c>
      <c r="N176">
        <v>114</v>
      </c>
      <c r="O176">
        <v>113</v>
      </c>
      <c r="P176">
        <v>117</v>
      </c>
      <c r="Q176">
        <v>97</v>
      </c>
      <c r="R176">
        <v>123</v>
      </c>
      <c r="S176">
        <v>116</v>
      </c>
      <c r="T176">
        <v>118</v>
      </c>
      <c r="U176">
        <v>116</v>
      </c>
      <c r="V176">
        <v>31</v>
      </c>
      <c r="W176">
        <v>465</v>
      </c>
      <c r="X176">
        <v>473</v>
      </c>
      <c r="Y176">
        <v>1066</v>
      </c>
      <c r="Z176">
        <v>218</v>
      </c>
      <c r="AA176">
        <v>328</v>
      </c>
      <c r="AB176">
        <v>113</v>
      </c>
      <c r="AC176">
        <v>232</v>
      </c>
      <c r="AD176">
        <v>241</v>
      </c>
      <c r="AE176" t="s">
        <v>486</v>
      </c>
    </row>
    <row r="177" spans="1:31" x14ac:dyDescent="0.35">
      <c r="A177" t="s">
        <v>705</v>
      </c>
      <c r="B177" s="9" t="s">
        <v>807</v>
      </c>
      <c r="C177" t="s">
        <v>701</v>
      </c>
      <c r="D177" t="s">
        <v>35</v>
      </c>
      <c r="E177" t="s">
        <v>24</v>
      </c>
      <c r="F177" t="s">
        <v>25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798</v>
      </c>
      <c r="M177">
        <v>122</v>
      </c>
      <c r="N177">
        <v>118</v>
      </c>
      <c r="O177">
        <v>115</v>
      </c>
      <c r="P177">
        <v>120</v>
      </c>
      <c r="Q177">
        <v>97</v>
      </c>
      <c r="R177">
        <v>115</v>
      </c>
      <c r="S177">
        <v>117</v>
      </c>
      <c r="T177">
        <v>119</v>
      </c>
      <c r="U177">
        <v>117</v>
      </c>
      <c r="V177">
        <v>31</v>
      </c>
      <c r="W177">
        <v>475</v>
      </c>
      <c r="X177">
        <v>468</v>
      </c>
      <c r="Y177">
        <v>1071</v>
      </c>
      <c r="Z177">
        <v>219</v>
      </c>
      <c r="AA177">
        <v>335</v>
      </c>
      <c r="AB177">
        <v>115</v>
      </c>
      <c r="AC177">
        <v>234</v>
      </c>
      <c r="AD177">
        <v>234</v>
      </c>
      <c r="AE177" t="s">
        <v>490</v>
      </c>
    </row>
    <row r="178" spans="1:31" x14ac:dyDescent="0.35">
      <c r="A178" t="s">
        <v>1126</v>
      </c>
      <c r="B178" s="9" t="s">
        <v>808</v>
      </c>
      <c r="C178" t="s">
        <v>1121</v>
      </c>
      <c r="D178" t="s">
        <v>35</v>
      </c>
      <c r="E178" t="s">
        <v>28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798</v>
      </c>
      <c r="M178">
        <v>121</v>
      </c>
      <c r="N178">
        <v>116</v>
      </c>
      <c r="O178">
        <v>114</v>
      </c>
      <c r="P178">
        <v>119</v>
      </c>
      <c r="Q178">
        <v>97</v>
      </c>
      <c r="R178">
        <v>118</v>
      </c>
      <c r="S178">
        <v>119</v>
      </c>
      <c r="T178">
        <v>120</v>
      </c>
      <c r="U178">
        <v>118</v>
      </c>
      <c r="V178">
        <v>31</v>
      </c>
      <c r="W178">
        <v>470</v>
      </c>
      <c r="X178">
        <v>475</v>
      </c>
      <c r="Y178">
        <v>1073</v>
      </c>
      <c r="Z178">
        <v>218</v>
      </c>
      <c r="AA178">
        <v>332</v>
      </c>
      <c r="AB178">
        <v>114</v>
      </c>
      <c r="AC178">
        <v>237</v>
      </c>
      <c r="AD178">
        <v>238</v>
      </c>
      <c r="AE178" t="s">
        <v>490</v>
      </c>
    </row>
    <row r="179" spans="1:31" x14ac:dyDescent="0.35">
      <c r="A179" t="s">
        <v>911</v>
      </c>
      <c r="B179" s="9" t="s">
        <v>725</v>
      </c>
      <c r="C179" t="s">
        <v>907</v>
      </c>
      <c r="D179" t="s">
        <v>37</v>
      </c>
      <c r="E179" t="s">
        <v>24</v>
      </c>
      <c r="F179" t="s">
        <v>26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119</v>
      </c>
      <c r="N179">
        <v>114</v>
      </c>
      <c r="O179">
        <v>113</v>
      </c>
      <c r="P179">
        <v>118</v>
      </c>
      <c r="Q179">
        <v>97</v>
      </c>
      <c r="R179">
        <v>123</v>
      </c>
      <c r="S179">
        <v>116</v>
      </c>
      <c r="T179">
        <v>118</v>
      </c>
      <c r="U179">
        <v>116</v>
      </c>
      <c r="V179">
        <v>31</v>
      </c>
      <c r="W179">
        <v>464</v>
      </c>
      <c r="X179">
        <v>473</v>
      </c>
      <c r="Y179">
        <v>1065</v>
      </c>
      <c r="Z179">
        <v>216</v>
      </c>
      <c r="AA179">
        <v>329</v>
      </c>
      <c r="AB179">
        <v>113</v>
      </c>
      <c r="AC179">
        <v>232</v>
      </c>
      <c r="AD179">
        <v>241</v>
      </c>
      <c r="AE179" t="s">
        <v>494</v>
      </c>
    </row>
    <row r="180" spans="1:31" x14ac:dyDescent="0.35">
      <c r="A180" t="s">
        <v>913</v>
      </c>
      <c r="B180" s="9" t="s">
        <v>712</v>
      </c>
      <c r="C180" t="s">
        <v>907</v>
      </c>
      <c r="D180" t="s">
        <v>38</v>
      </c>
      <c r="E180" t="s">
        <v>24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121</v>
      </c>
      <c r="N180">
        <v>119</v>
      </c>
      <c r="O180">
        <v>117</v>
      </c>
      <c r="P180">
        <v>120</v>
      </c>
      <c r="Q180">
        <v>97</v>
      </c>
      <c r="R180">
        <v>118</v>
      </c>
      <c r="S180">
        <v>117</v>
      </c>
      <c r="T180">
        <v>119</v>
      </c>
      <c r="U180">
        <v>119</v>
      </c>
      <c r="V180">
        <v>31</v>
      </c>
      <c r="W180">
        <v>477</v>
      </c>
      <c r="X180">
        <v>473</v>
      </c>
      <c r="Y180">
        <v>1078</v>
      </c>
      <c r="Z180">
        <v>218</v>
      </c>
      <c r="AA180">
        <v>336</v>
      </c>
      <c r="AB180">
        <v>117</v>
      </c>
      <c r="AC180">
        <v>236</v>
      </c>
      <c r="AD180">
        <v>237</v>
      </c>
      <c r="AE180" t="s">
        <v>496</v>
      </c>
    </row>
    <row r="181" spans="1:31" x14ac:dyDescent="0.35">
      <c r="A181" t="s">
        <v>1173</v>
      </c>
      <c r="B181" s="9" t="s">
        <v>812</v>
      </c>
      <c r="C181" t="s">
        <v>1164</v>
      </c>
      <c r="D181" t="s">
        <v>38</v>
      </c>
      <c r="E181" t="s">
        <v>28</v>
      </c>
      <c r="F181" t="s">
        <v>25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124</v>
      </c>
      <c r="N181">
        <v>117</v>
      </c>
      <c r="O181">
        <v>119</v>
      </c>
      <c r="P181">
        <v>118</v>
      </c>
      <c r="Q181">
        <v>97</v>
      </c>
      <c r="R181">
        <v>118</v>
      </c>
      <c r="S181">
        <v>117</v>
      </c>
      <c r="T181">
        <v>121</v>
      </c>
      <c r="U181">
        <v>117</v>
      </c>
      <c r="V181">
        <v>31</v>
      </c>
      <c r="W181">
        <v>478</v>
      </c>
      <c r="X181">
        <v>473</v>
      </c>
      <c r="Y181">
        <v>1079</v>
      </c>
      <c r="Z181">
        <v>221</v>
      </c>
      <c r="AA181">
        <v>332</v>
      </c>
      <c r="AB181">
        <v>119</v>
      </c>
      <c r="AC181">
        <v>234</v>
      </c>
      <c r="AD181">
        <v>239</v>
      </c>
      <c r="AE181" t="s">
        <v>496</v>
      </c>
    </row>
    <row r="182" spans="1:31" x14ac:dyDescent="0.35">
      <c r="A182" t="s">
        <v>972</v>
      </c>
      <c r="B182" s="9" t="s">
        <v>717</v>
      </c>
      <c r="C182" t="s">
        <v>958</v>
      </c>
      <c r="D182" t="s">
        <v>525</v>
      </c>
      <c r="E182" t="s">
        <v>24</v>
      </c>
      <c r="F182" t="s">
        <v>31</v>
      </c>
      <c r="G182" t="s">
        <v>152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122</v>
      </c>
      <c r="N182">
        <v>122</v>
      </c>
      <c r="O182">
        <v>125</v>
      </c>
      <c r="P182">
        <v>125</v>
      </c>
      <c r="Q182">
        <v>101</v>
      </c>
      <c r="R182">
        <v>117</v>
      </c>
      <c r="S182">
        <v>117</v>
      </c>
      <c r="T182">
        <v>121</v>
      </c>
      <c r="U182">
        <v>121</v>
      </c>
      <c r="V182">
        <v>41</v>
      </c>
      <c r="W182">
        <v>494</v>
      </c>
      <c r="X182">
        <v>476</v>
      </c>
      <c r="Y182">
        <v>1112</v>
      </c>
      <c r="Z182">
        <v>223</v>
      </c>
      <c r="AA182">
        <v>348</v>
      </c>
      <c r="AB182">
        <v>125</v>
      </c>
      <c r="AC182">
        <v>238</v>
      </c>
      <c r="AD182">
        <v>238</v>
      </c>
      <c r="AE182" t="s">
        <v>527</v>
      </c>
    </row>
    <row r="183" spans="1:31" x14ac:dyDescent="0.35">
      <c r="A183" t="s">
        <v>704</v>
      </c>
      <c r="B183" s="9" t="s">
        <v>724</v>
      </c>
      <c r="C183" t="s">
        <v>701</v>
      </c>
      <c r="D183" t="s">
        <v>543</v>
      </c>
      <c r="E183" t="s">
        <v>24</v>
      </c>
      <c r="F183" t="s">
        <v>25</v>
      </c>
      <c r="G183" t="s">
        <v>152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122</v>
      </c>
      <c r="N183">
        <v>121</v>
      </c>
      <c r="O183">
        <v>116</v>
      </c>
      <c r="P183">
        <v>118</v>
      </c>
      <c r="Q183">
        <v>97</v>
      </c>
      <c r="R183">
        <v>117</v>
      </c>
      <c r="S183">
        <v>116</v>
      </c>
      <c r="T183">
        <v>119</v>
      </c>
      <c r="U183">
        <v>117</v>
      </c>
      <c r="V183">
        <v>31</v>
      </c>
      <c r="W183">
        <v>477</v>
      </c>
      <c r="X183">
        <v>469</v>
      </c>
      <c r="Y183">
        <v>1074</v>
      </c>
      <c r="Z183">
        <v>219</v>
      </c>
      <c r="AA183">
        <v>336</v>
      </c>
      <c r="AB183">
        <v>116</v>
      </c>
      <c r="AC183">
        <v>233</v>
      </c>
      <c r="AD183">
        <v>236</v>
      </c>
      <c r="AE183" t="s">
        <v>545</v>
      </c>
    </row>
    <row r="184" spans="1:31" x14ac:dyDescent="0.35">
      <c r="A184" t="s">
        <v>549</v>
      </c>
      <c r="B184" s="9" t="s">
        <v>740</v>
      </c>
      <c r="C184" t="s">
        <v>208</v>
      </c>
      <c r="D184" t="s">
        <v>546</v>
      </c>
      <c r="E184" t="s">
        <v>28</v>
      </c>
      <c r="F184" t="s">
        <v>25</v>
      </c>
      <c r="G184" t="s">
        <v>159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125</v>
      </c>
      <c r="N184">
        <v>124</v>
      </c>
      <c r="O184">
        <v>115</v>
      </c>
      <c r="P184">
        <v>123</v>
      </c>
      <c r="Q184">
        <v>101</v>
      </c>
      <c r="R184">
        <v>115</v>
      </c>
      <c r="S184">
        <v>116</v>
      </c>
      <c r="T184">
        <v>121</v>
      </c>
      <c r="U184">
        <v>121</v>
      </c>
      <c r="V184">
        <v>41</v>
      </c>
      <c r="W184">
        <v>487</v>
      </c>
      <c r="X184">
        <v>473</v>
      </c>
      <c r="Y184">
        <v>1102</v>
      </c>
      <c r="Z184">
        <v>226</v>
      </c>
      <c r="AA184">
        <v>348</v>
      </c>
      <c r="AB184">
        <v>115</v>
      </c>
      <c r="AC184">
        <v>237</v>
      </c>
      <c r="AD184">
        <v>236</v>
      </c>
      <c r="AE184" t="s">
        <v>548</v>
      </c>
    </row>
    <row r="185" spans="1:31" x14ac:dyDescent="0.35">
      <c r="A185" t="s">
        <v>963</v>
      </c>
      <c r="B185" s="9" t="s">
        <v>760</v>
      </c>
      <c r="C185" t="s">
        <v>958</v>
      </c>
      <c r="D185" t="s">
        <v>546</v>
      </c>
      <c r="E185" t="s">
        <v>23</v>
      </c>
      <c r="F185" t="s">
        <v>25</v>
      </c>
      <c r="G185" t="s">
        <v>159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128</v>
      </c>
      <c r="N185">
        <v>121</v>
      </c>
      <c r="O185">
        <v>115</v>
      </c>
      <c r="P185">
        <v>120</v>
      </c>
      <c r="Q185">
        <v>101</v>
      </c>
      <c r="R185">
        <v>116</v>
      </c>
      <c r="S185">
        <v>116</v>
      </c>
      <c r="T185">
        <v>123</v>
      </c>
      <c r="U185">
        <v>121</v>
      </c>
      <c r="V185">
        <v>41</v>
      </c>
      <c r="W185">
        <v>484</v>
      </c>
      <c r="X185">
        <v>476</v>
      </c>
      <c r="Y185">
        <v>1102</v>
      </c>
      <c r="Z185">
        <v>229</v>
      </c>
      <c r="AA185">
        <v>342</v>
      </c>
      <c r="AB185">
        <v>115</v>
      </c>
      <c r="AC185">
        <v>237</v>
      </c>
      <c r="AD185">
        <v>239</v>
      </c>
      <c r="AE185" t="s">
        <v>548</v>
      </c>
    </row>
    <row r="186" spans="1:31" x14ac:dyDescent="0.35">
      <c r="A186" t="s">
        <v>556</v>
      </c>
      <c r="B186" s="9" t="s">
        <v>820</v>
      </c>
      <c r="C186" t="s">
        <v>208</v>
      </c>
      <c r="D186" t="s">
        <v>553</v>
      </c>
      <c r="E186" t="s">
        <v>24</v>
      </c>
      <c r="F186" t="s">
        <v>31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723</v>
      </c>
      <c r="M186">
        <v>116</v>
      </c>
      <c r="N186">
        <v>117</v>
      </c>
      <c r="O186">
        <v>123</v>
      </c>
      <c r="P186">
        <v>123</v>
      </c>
      <c r="Q186">
        <v>97</v>
      </c>
      <c r="R186">
        <v>118</v>
      </c>
      <c r="S186">
        <v>115</v>
      </c>
      <c r="T186">
        <v>117</v>
      </c>
      <c r="U186">
        <v>118</v>
      </c>
      <c r="V186">
        <v>41</v>
      </c>
      <c r="W186">
        <v>479</v>
      </c>
      <c r="X186">
        <v>468</v>
      </c>
      <c r="Y186">
        <v>1085</v>
      </c>
      <c r="Z186">
        <v>213</v>
      </c>
      <c r="AA186">
        <v>337</v>
      </c>
      <c r="AB186">
        <v>123</v>
      </c>
      <c r="AC186">
        <v>233</v>
      </c>
      <c r="AD186">
        <v>235</v>
      </c>
      <c r="AE186" t="s">
        <v>555</v>
      </c>
    </row>
    <row r="187" spans="1:31" x14ac:dyDescent="0.35">
      <c r="A187" t="s">
        <v>593</v>
      </c>
      <c r="B187" s="9" t="s">
        <v>889</v>
      </c>
      <c r="C187" t="s">
        <v>211</v>
      </c>
      <c r="D187" t="s">
        <v>590</v>
      </c>
      <c r="E187" t="s">
        <v>24</v>
      </c>
      <c r="F187" t="s">
        <v>25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133</v>
      </c>
      <c r="N187">
        <v>133</v>
      </c>
      <c r="O187">
        <v>115</v>
      </c>
      <c r="P187">
        <v>124</v>
      </c>
      <c r="Q187">
        <v>101</v>
      </c>
      <c r="R187">
        <v>117</v>
      </c>
      <c r="S187">
        <v>117</v>
      </c>
      <c r="T187">
        <v>123</v>
      </c>
      <c r="U187">
        <v>121</v>
      </c>
      <c r="V187">
        <v>41</v>
      </c>
      <c r="W187">
        <v>505</v>
      </c>
      <c r="X187">
        <v>478</v>
      </c>
      <c r="Y187">
        <v>1125</v>
      </c>
      <c r="Z187">
        <v>234</v>
      </c>
      <c r="AA187">
        <v>358</v>
      </c>
      <c r="AB187">
        <v>115</v>
      </c>
      <c r="AC187">
        <v>238</v>
      </c>
      <c r="AD187">
        <v>240</v>
      </c>
      <c r="AE187" t="s">
        <v>592</v>
      </c>
    </row>
    <row r="188" spans="1:31" x14ac:dyDescent="0.35">
      <c r="A188" t="s">
        <v>944</v>
      </c>
      <c r="B188" s="9" t="s">
        <v>891</v>
      </c>
      <c r="C188" t="s">
        <v>934</v>
      </c>
      <c r="D188" t="s">
        <v>590</v>
      </c>
      <c r="E188" t="s">
        <v>28</v>
      </c>
      <c r="F188" t="s">
        <v>25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136</v>
      </c>
      <c r="N188">
        <v>135</v>
      </c>
      <c r="O188">
        <v>115</v>
      </c>
      <c r="P188">
        <v>125</v>
      </c>
      <c r="Q188">
        <v>101</v>
      </c>
      <c r="R188">
        <v>115</v>
      </c>
      <c r="S188">
        <v>115</v>
      </c>
      <c r="T188">
        <v>122</v>
      </c>
      <c r="U188">
        <v>120</v>
      </c>
      <c r="V188">
        <v>41</v>
      </c>
      <c r="W188">
        <v>511</v>
      </c>
      <c r="X188">
        <v>472</v>
      </c>
      <c r="Y188">
        <v>1125</v>
      </c>
      <c r="Z188">
        <v>237</v>
      </c>
      <c r="AA188">
        <v>361</v>
      </c>
      <c r="AB188">
        <v>115</v>
      </c>
      <c r="AC188">
        <v>235</v>
      </c>
      <c r="AD188">
        <v>237</v>
      </c>
      <c r="AE188" t="s">
        <v>592</v>
      </c>
    </row>
    <row r="189" spans="1:31" x14ac:dyDescent="0.35">
      <c r="A189" t="s">
        <v>597</v>
      </c>
      <c r="B189" s="9" t="s">
        <v>898</v>
      </c>
      <c r="C189" t="s">
        <v>211</v>
      </c>
      <c r="D189" t="s">
        <v>594</v>
      </c>
      <c r="E189" t="s">
        <v>24</v>
      </c>
      <c r="F189" t="s">
        <v>26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801</v>
      </c>
      <c r="M189">
        <v>126</v>
      </c>
      <c r="N189">
        <v>121</v>
      </c>
      <c r="O189">
        <v>114</v>
      </c>
      <c r="P189">
        <v>122</v>
      </c>
      <c r="Q189">
        <v>97</v>
      </c>
      <c r="R189">
        <v>128</v>
      </c>
      <c r="S189">
        <v>116</v>
      </c>
      <c r="T189">
        <v>120</v>
      </c>
      <c r="U189">
        <v>118</v>
      </c>
      <c r="V189">
        <v>28</v>
      </c>
      <c r="W189">
        <v>483</v>
      </c>
      <c r="X189">
        <v>482</v>
      </c>
      <c r="Y189">
        <v>1090</v>
      </c>
      <c r="Z189">
        <v>223</v>
      </c>
      <c r="AA189">
        <v>340</v>
      </c>
      <c r="AB189">
        <v>114</v>
      </c>
      <c r="AC189">
        <v>234</v>
      </c>
      <c r="AD189">
        <v>248</v>
      </c>
      <c r="AE189" t="s">
        <v>596</v>
      </c>
    </row>
    <row r="190" spans="1:31" x14ac:dyDescent="0.35">
      <c r="A190" t="s">
        <v>904</v>
      </c>
      <c r="B190" s="9" t="s">
        <v>899</v>
      </c>
      <c r="C190" t="s">
        <v>894</v>
      </c>
      <c r="D190" t="s">
        <v>594</v>
      </c>
      <c r="E190" t="s">
        <v>28</v>
      </c>
      <c r="F190" t="s">
        <v>26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801</v>
      </c>
      <c r="M190">
        <v>127</v>
      </c>
      <c r="N190">
        <v>119</v>
      </c>
      <c r="O190">
        <v>114</v>
      </c>
      <c r="P190">
        <v>120</v>
      </c>
      <c r="Q190">
        <v>97</v>
      </c>
      <c r="R190">
        <v>130</v>
      </c>
      <c r="S190">
        <v>115</v>
      </c>
      <c r="T190">
        <v>122</v>
      </c>
      <c r="U190">
        <v>118</v>
      </c>
      <c r="V190">
        <v>28</v>
      </c>
      <c r="W190">
        <v>480</v>
      </c>
      <c r="X190">
        <v>485</v>
      </c>
      <c r="Y190">
        <v>1090</v>
      </c>
      <c r="Z190">
        <v>224</v>
      </c>
      <c r="AA190">
        <v>336</v>
      </c>
      <c r="AB190">
        <v>114</v>
      </c>
      <c r="AC190">
        <v>233</v>
      </c>
      <c r="AD190">
        <v>252</v>
      </c>
      <c r="AE190" t="s">
        <v>596</v>
      </c>
    </row>
    <row r="191" spans="1:31" x14ac:dyDescent="0.35">
      <c r="A191" t="s">
        <v>703</v>
      </c>
      <c r="B191" s="9" t="s">
        <v>903</v>
      </c>
      <c r="C191" t="s">
        <v>701</v>
      </c>
      <c r="D191" t="s">
        <v>598</v>
      </c>
      <c r="E191" t="s">
        <v>23</v>
      </c>
      <c r="F191" t="s">
        <v>25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783</v>
      </c>
      <c r="M191">
        <v>126</v>
      </c>
      <c r="N191">
        <v>123</v>
      </c>
      <c r="O191">
        <v>119</v>
      </c>
      <c r="P191">
        <v>124</v>
      </c>
      <c r="Q191">
        <v>101</v>
      </c>
      <c r="R191">
        <v>119</v>
      </c>
      <c r="S191">
        <v>119</v>
      </c>
      <c r="T191">
        <v>124</v>
      </c>
      <c r="U191">
        <v>122</v>
      </c>
      <c r="V191">
        <v>41</v>
      </c>
      <c r="W191">
        <v>492</v>
      </c>
      <c r="X191">
        <v>484</v>
      </c>
      <c r="Y191">
        <v>1118</v>
      </c>
      <c r="Z191">
        <v>227</v>
      </c>
      <c r="AA191">
        <v>348</v>
      </c>
      <c r="AB191">
        <v>119</v>
      </c>
      <c r="AC191">
        <v>241</v>
      </c>
      <c r="AD191">
        <v>243</v>
      </c>
      <c r="AE191" t="s">
        <v>600</v>
      </c>
    </row>
    <row r="192" spans="1:31" x14ac:dyDescent="0.35">
      <c r="A192" t="s">
        <v>603</v>
      </c>
      <c r="B192" s="9" t="s">
        <v>912</v>
      </c>
      <c r="C192" t="s">
        <v>391</v>
      </c>
      <c r="D192" t="s">
        <v>392</v>
      </c>
      <c r="E192" t="s">
        <v>24</v>
      </c>
      <c r="F192" t="s">
        <v>31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714</v>
      </c>
      <c r="M192">
        <v>120</v>
      </c>
      <c r="N192">
        <v>123</v>
      </c>
      <c r="O192">
        <v>130</v>
      </c>
      <c r="P192">
        <v>126</v>
      </c>
      <c r="Q192">
        <v>101</v>
      </c>
      <c r="R192">
        <v>118</v>
      </c>
      <c r="S192">
        <v>118</v>
      </c>
      <c r="T192">
        <v>117</v>
      </c>
      <c r="U192">
        <v>119</v>
      </c>
      <c r="V192">
        <v>36</v>
      </c>
      <c r="W192">
        <v>499</v>
      </c>
      <c r="X192">
        <v>472</v>
      </c>
      <c r="Y192">
        <v>1108</v>
      </c>
      <c r="Z192">
        <v>221</v>
      </c>
      <c r="AA192">
        <v>350</v>
      </c>
      <c r="AB192">
        <v>130</v>
      </c>
      <c r="AC192">
        <v>237</v>
      </c>
      <c r="AD192">
        <v>235</v>
      </c>
      <c r="AE192" t="s">
        <v>602</v>
      </c>
    </row>
    <row r="193" spans="1:31" x14ac:dyDescent="0.35">
      <c r="A193" t="s">
        <v>1145</v>
      </c>
      <c r="B193" s="9" t="s">
        <v>923</v>
      </c>
      <c r="C193" t="s">
        <v>1121</v>
      </c>
      <c r="D193" t="s">
        <v>607</v>
      </c>
      <c r="E193" t="s">
        <v>24</v>
      </c>
      <c r="F193" t="s">
        <v>26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714</v>
      </c>
      <c r="M193">
        <v>126</v>
      </c>
      <c r="N193">
        <v>121</v>
      </c>
      <c r="O193">
        <v>114</v>
      </c>
      <c r="P193">
        <v>122</v>
      </c>
      <c r="Q193">
        <v>101</v>
      </c>
      <c r="R193">
        <v>124</v>
      </c>
      <c r="S193">
        <v>116</v>
      </c>
      <c r="T193">
        <v>120</v>
      </c>
      <c r="U193">
        <v>118</v>
      </c>
      <c r="V193">
        <v>31</v>
      </c>
      <c r="W193">
        <v>483</v>
      </c>
      <c r="X193">
        <v>478</v>
      </c>
      <c r="Y193">
        <v>1093</v>
      </c>
      <c r="Z193">
        <v>227</v>
      </c>
      <c r="AA193">
        <v>344</v>
      </c>
      <c r="AB193">
        <v>114</v>
      </c>
      <c r="AC193">
        <v>234</v>
      </c>
      <c r="AD193">
        <v>244</v>
      </c>
      <c r="AE193" t="s">
        <v>609</v>
      </c>
    </row>
    <row r="194" spans="1:31" x14ac:dyDescent="0.35">
      <c r="A194" t="s">
        <v>991</v>
      </c>
      <c r="B194" s="9" t="s">
        <v>928</v>
      </c>
      <c r="C194" t="s">
        <v>958</v>
      </c>
      <c r="D194" t="s">
        <v>661</v>
      </c>
      <c r="E194" t="s">
        <v>24</v>
      </c>
      <c r="F194" t="s">
        <v>31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723</v>
      </c>
      <c r="M194">
        <v>118</v>
      </c>
      <c r="N194">
        <v>123</v>
      </c>
      <c r="O194">
        <v>124</v>
      </c>
      <c r="P194">
        <v>124</v>
      </c>
      <c r="Q194">
        <v>101</v>
      </c>
      <c r="R194">
        <v>118</v>
      </c>
      <c r="S194">
        <v>118</v>
      </c>
      <c r="T194">
        <v>118</v>
      </c>
      <c r="U194">
        <v>119</v>
      </c>
      <c r="V194">
        <v>36</v>
      </c>
      <c r="W194">
        <v>489</v>
      </c>
      <c r="X194">
        <v>473</v>
      </c>
      <c r="Y194">
        <v>1099</v>
      </c>
      <c r="Z194">
        <v>219</v>
      </c>
      <c r="AA194">
        <v>348</v>
      </c>
      <c r="AB194">
        <v>124</v>
      </c>
      <c r="AC194">
        <v>237</v>
      </c>
      <c r="AD194">
        <v>236</v>
      </c>
      <c r="AE194" t="s">
        <v>610</v>
      </c>
    </row>
    <row r="195" spans="1:31" x14ac:dyDescent="0.35">
      <c r="A195" t="s">
        <v>901</v>
      </c>
      <c r="B195" s="9" t="s">
        <v>938</v>
      </c>
      <c r="C195" t="s">
        <v>894</v>
      </c>
      <c r="D195" t="s">
        <v>614</v>
      </c>
      <c r="E195" t="s">
        <v>23</v>
      </c>
      <c r="F195" t="s">
        <v>31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121</v>
      </c>
      <c r="N195">
        <v>132</v>
      </c>
      <c r="O195">
        <v>133</v>
      </c>
      <c r="P195">
        <v>130</v>
      </c>
      <c r="Q195">
        <v>101</v>
      </c>
      <c r="R195">
        <v>115</v>
      </c>
      <c r="S195">
        <v>120</v>
      </c>
      <c r="T195">
        <v>115</v>
      </c>
      <c r="U195">
        <v>119</v>
      </c>
      <c r="V195">
        <v>36</v>
      </c>
      <c r="W195">
        <v>516</v>
      </c>
      <c r="X195">
        <v>469</v>
      </c>
      <c r="Y195">
        <v>1122</v>
      </c>
      <c r="Z195">
        <v>222</v>
      </c>
      <c r="AA195">
        <v>363</v>
      </c>
      <c r="AB195">
        <v>133</v>
      </c>
      <c r="AC195">
        <v>239</v>
      </c>
      <c r="AD195">
        <v>230</v>
      </c>
      <c r="AE195" t="s">
        <v>616</v>
      </c>
    </row>
    <row r="196" spans="1:31" x14ac:dyDescent="0.35">
      <c r="A196" t="s">
        <v>1080</v>
      </c>
      <c r="B196" s="9" t="s">
        <v>941</v>
      </c>
      <c r="C196" t="s">
        <v>1074</v>
      </c>
      <c r="D196" t="s">
        <v>614</v>
      </c>
      <c r="E196" t="s">
        <v>24</v>
      </c>
      <c r="F196" t="s">
        <v>31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119</v>
      </c>
      <c r="N196">
        <v>134</v>
      </c>
      <c r="O196">
        <v>132</v>
      </c>
      <c r="P196">
        <v>131</v>
      </c>
      <c r="Q196">
        <v>101</v>
      </c>
      <c r="R196">
        <v>113</v>
      </c>
      <c r="S196">
        <v>122</v>
      </c>
      <c r="T196">
        <v>114</v>
      </c>
      <c r="U196">
        <v>120</v>
      </c>
      <c r="V196">
        <v>36</v>
      </c>
      <c r="W196">
        <v>516</v>
      </c>
      <c r="X196">
        <v>469</v>
      </c>
      <c r="Y196">
        <v>1122</v>
      </c>
      <c r="Z196">
        <v>220</v>
      </c>
      <c r="AA196">
        <v>366</v>
      </c>
      <c r="AB196">
        <v>132</v>
      </c>
      <c r="AC196">
        <v>242</v>
      </c>
      <c r="AD196">
        <v>227</v>
      </c>
      <c r="AE196" t="s">
        <v>616</v>
      </c>
    </row>
    <row r="197" spans="1:31" x14ac:dyDescent="0.35">
      <c r="A197" t="s">
        <v>1082</v>
      </c>
      <c r="B197" s="9" t="s">
        <v>946</v>
      </c>
      <c r="C197" t="s">
        <v>1074</v>
      </c>
      <c r="D197" t="s">
        <v>617</v>
      </c>
      <c r="E197" t="s">
        <v>24</v>
      </c>
      <c r="F197" t="s">
        <v>25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802</v>
      </c>
      <c r="M197">
        <v>130</v>
      </c>
      <c r="N197">
        <v>123</v>
      </c>
      <c r="O197">
        <v>117</v>
      </c>
      <c r="P197">
        <v>122</v>
      </c>
      <c r="Q197">
        <v>101</v>
      </c>
      <c r="R197">
        <v>124</v>
      </c>
      <c r="S197">
        <v>120</v>
      </c>
      <c r="T197">
        <v>125</v>
      </c>
      <c r="U197">
        <v>120</v>
      </c>
      <c r="V197">
        <v>31</v>
      </c>
      <c r="W197">
        <v>492</v>
      </c>
      <c r="X197">
        <v>489</v>
      </c>
      <c r="Y197">
        <v>1113</v>
      </c>
      <c r="Z197">
        <v>231</v>
      </c>
      <c r="AA197">
        <v>346</v>
      </c>
      <c r="AB197">
        <v>117</v>
      </c>
      <c r="AC197">
        <v>240</v>
      </c>
      <c r="AD197">
        <v>249</v>
      </c>
      <c r="AE197" t="s">
        <v>619</v>
      </c>
    </row>
    <row r="198" spans="1:31" x14ac:dyDescent="0.35">
      <c r="A198" t="s">
        <v>1051</v>
      </c>
      <c r="B198" s="9" t="s">
        <v>954</v>
      </c>
      <c r="C198" t="s">
        <v>1048</v>
      </c>
      <c r="D198" t="s">
        <v>620</v>
      </c>
      <c r="E198" t="s">
        <v>23</v>
      </c>
      <c r="F198" t="s">
        <v>26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800</v>
      </c>
      <c r="M198">
        <v>129</v>
      </c>
      <c r="N198">
        <v>119</v>
      </c>
      <c r="O198">
        <v>113</v>
      </c>
      <c r="P198">
        <v>122</v>
      </c>
      <c r="Q198">
        <v>101</v>
      </c>
      <c r="R198">
        <v>131</v>
      </c>
      <c r="S198">
        <v>115</v>
      </c>
      <c r="T198">
        <v>120</v>
      </c>
      <c r="U198">
        <v>118</v>
      </c>
      <c r="V198">
        <v>36</v>
      </c>
      <c r="W198">
        <v>483</v>
      </c>
      <c r="X198">
        <v>484</v>
      </c>
      <c r="Y198">
        <v>1104</v>
      </c>
      <c r="Z198">
        <v>230</v>
      </c>
      <c r="AA198">
        <v>342</v>
      </c>
      <c r="AB198">
        <v>113</v>
      </c>
      <c r="AC198">
        <v>233</v>
      </c>
      <c r="AD198">
        <v>251</v>
      </c>
      <c r="AE198" t="s">
        <v>622</v>
      </c>
    </row>
    <row r="199" spans="1:31" x14ac:dyDescent="0.35">
      <c r="A199" t="s">
        <v>933</v>
      </c>
      <c r="B199" s="9" t="s">
        <v>971</v>
      </c>
      <c r="C199" t="s">
        <v>914</v>
      </c>
      <c r="D199" t="s">
        <v>623</v>
      </c>
      <c r="E199" t="s">
        <v>23</v>
      </c>
      <c r="F199" t="s">
        <v>25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714</v>
      </c>
      <c r="M199">
        <v>128</v>
      </c>
      <c r="N199">
        <v>122</v>
      </c>
      <c r="O199">
        <v>116</v>
      </c>
      <c r="P199">
        <v>120</v>
      </c>
      <c r="Q199">
        <v>97</v>
      </c>
      <c r="R199">
        <v>119</v>
      </c>
      <c r="S199">
        <v>122</v>
      </c>
      <c r="T199">
        <v>123</v>
      </c>
      <c r="U199">
        <v>122</v>
      </c>
      <c r="V199">
        <v>36</v>
      </c>
      <c r="W199">
        <v>486</v>
      </c>
      <c r="X199">
        <v>486</v>
      </c>
      <c r="Y199">
        <v>1105</v>
      </c>
      <c r="Z199">
        <v>225</v>
      </c>
      <c r="AA199">
        <v>339</v>
      </c>
      <c r="AB199">
        <v>116</v>
      </c>
      <c r="AC199">
        <v>244</v>
      </c>
      <c r="AD199">
        <v>242</v>
      </c>
      <c r="AE199" t="s">
        <v>625</v>
      </c>
    </row>
    <row r="200" spans="1:31" x14ac:dyDescent="0.35">
      <c r="A200" t="s">
        <v>981</v>
      </c>
      <c r="B200" s="9" t="s">
        <v>986</v>
      </c>
      <c r="C200" t="s">
        <v>958</v>
      </c>
      <c r="D200" t="s">
        <v>673</v>
      </c>
      <c r="E200" t="s">
        <v>28</v>
      </c>
      <c r="F200" t="s">
        <v>25</v>
      </c>
      <c r="G200" t="s">
        <v>190</v>
      </c>
      <c r="H200" t="s">
        <v>71</v>
      </c>
      <c r="I200" t="s">
        <v>712</v>
      </c>
      <c r="J200" t="s">
        <v>22</v>
      </c>
      <c r="K200" t="s">
        <v>713</v>
      </c>
      <c r="L200" t="s">
        <v>735</v>
      </c>
      <c r="M200">
        <v>130</v>
      </c>
      <c r="N200">
        <v>125</v>
      </c>
      <c r="O200">
        <v>114</v>
      </c>
      <c r="P200">
        <v>118</v>
      </c>
      <c r="Q200">
        <v>101</v>
      </c>
      <c r="R200">
        <v>118</v>
      </c>
      <c r="S200">
        <v>116</v>
      </c>
      <c r="T200">
        <v>123</v>
      </c>
      <c r="U200">
        <v>116</v>
      </c>
      <c r="V200">
        <v>31</v>
      </c>
      <c r="W200">
        <v>487</v>
      </c>
      <c r="X200">
        <v>473</v>
      </c>
      <c r="Y200">
        <v>1092</v>
      </c>
      <c r="Z200">
        <v>231</v>
      </c>
      <c r="AA200">
        <v>344</v>
      </c>
      <c r="AB200">
        <v>114</v>
      </c>
      <c r="AC200">
        <v>232</v>
      </c>
      <c r="AD200">
        <v>241</v>
      </c>
      <c r="AE200" t="s">
        <v>675</v>
      </c>
    </row>
    <row r="201" spans="1:31" x14ac:dyDescent="0.35">
      <c r="A201" t="s">
        <v>629</v>
      </c>
      <c r="B201" s="9" t="s">
        <v>1004</v>
      </c>
      <c r="C201" t="s">
        <v>209</v>
      </c>
      <c r="D201" t="s">
        <v>626</v>
      </c>
      <c r="E201" t="s">
        <v>28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131</v>
      </c>
      <c r="N201">
        <v>130</v>
      </c>
      <c r="O201">
        <v>115</v>
      </c>
      <c r="P201">
        <v>120</v>
      </c>
      <c r="Q201">
        <v>101</v>
      </c>
      <c r="R201">
        <v>119</v>
      </c>
      <c r="S201">
        <v>122</v>
      </c>
      <c r="T201">
        <v>124</v>
      </c>
      <c r="U201">
        <v>122</v>
      </c>
      <c r="V201">
        <v>26</v>
      </c>
      <c r="W201">
        <v>496</v>
      </c>
      <c r="X201">
        <v>487</v>
      </c>
      <c r="Y201">
        <v>1110</v>
      </c>
      <c r="Z201">
        <v>232</v>
      </c>
      <c r="AA201">
        <v>351</v>
      </c>
      <c r="AB201">
        <v>115</v>
      </c>
      <c r="AC201">
        <v>244</v>
      </c>
      <c r="AD201">
        <v>243</v>
      </c>
      <c r="AE201" t="s">
        <v>628</v>
      </c>
    </row>
    <row r="202" spans="1:31" x14ac:dyDescent="0.35">
      <c r="A202" t="s">
        <v>924</v>
      </c>
      <c r="B202" s="9" t="s">
        <v>1006</v>
      </c>
      <c r="C202" t="s">
        <v>914</v>
      </c>
      <c r="D202" t="s">
        <v>626</v>
      </c>
      <c r="E202" t="s">
        <v>23</v>
      </c>
      <c r="F202" t="s">
        <v>25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133</v>
      </c>
      <c r="N202">
        <v>128</v>
      </c>
      <c r="O202">
        <v>115</v>
      </c>
      <c r="P202">
        <v>118</v>
      </c>
      <c r="Q202">
        <v>101</v>
      </c>
      <c r="R202">
        <v>121</v>
      </c>
      <c r="S202">
        <v>122</v>
      </c>
      <c r="T202">
        <v>126</v>
      </c>
      <c r="U202">
        <v>121</v>
      </c>
      <c r="V202">
        <v>26</v>
      </c>
      <c r="W202">
        <v>494</v>
      </c>
      <c r="X202">
        <v>490</v>
      </c>
      <c r="Y202">
        <v>1111</v>
      </c>
      <c r="Z202">
        <v>234</v>
      </c>
      <c r="AA202">
        <v>347</v>
      </c>
      <c r="AB202">
        <v>115</v>
      </c>
      <c r="AC202">
        <v>243</v>
      </c>
      <c r="AD202">
        <v>247</v>
      </c>
      <c r="AE202" t="s">
        <v>628</v>
      </c>
    </row>
    <row r="203" spans="1:31" x14ac:dyDescent="0.35">
      <c r="A203" t="s">
        <v>995</v>
      </c>
      <c r="B203" s="9" t="s">
        <v>1012</v>
      </c>
      <c r="C203" t="s">
        <v>208</v>
      </c>
      <c r="D203" t="s">
        <v>626</v>
      </c>
      <c r="E203" t="s">
        <v>24</v>
      </c>
      <c r="F203" t="s">
        <v>25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802</v>
      </c>
      <c r="M203">
        <v>134</v>
      </c>
      <c r="N203">
        <v>127</v>
      </c>
      <c r="O203">
        <v>115</v>
      </c>
      <c r="P203">
        <v>117</v>
      </c>
      <c r="Q203">
        <v>101</v>
      </c>
      <c r="R203">
        <v>119</v>
      </c>
      <c r="S203">
        <v>125</v>
      </c>
      <c r="T203">
        <v>124</v>
      </c>
      <c r="U203">
        <v>124</v>
      </c>
      <c r="V203">
        <v>26</v>
      </c>
      <c r="W203">
        <v>493</v>
      </c>
      <c r="X203">
        <v>492</v>
      </c>
      <c r="Y203">
        <v>1112</v>
      </c>
      <c r="Z203">
        <v>235</v>
      </c>
      <c r="AA203">
        <v>345</v>
      </c>
      <c r="AB203">
        <v>115</v>
      </c>
      <c r="AC203">
        <v>249</v>
      </c>
      <c r="AD203">
        <v>243</v>
      </c>
      <c r="AE203" t="s">
        <v>628</v>
      </c>
    </row>
    <row r="204" spans="1:31" x14ac:dyDescent="0.35">
      <c r="A204" t="s">
        <v>664</v>
      </c>
      <c r="B204" s="9" t="s">
        <v>1019</v>
      </c>
      <c r="C204" t="s">
        <v>391</v>
      </c>
      <c r="D204" t="s">
        <v>630</v>
      </c>
      <c r="E204" t="s">
        <v>28</v>
      </c>
      <c r="F204" t="s">
        <v>25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783</v>
      </c>
      <c r="M204">
        <v>126</v>
      </c>
      <c r="N204">
        <v>120</v>
      </c>
      <c r="O204">
        <v>121</v>
      </c>
      <c r="P204">
        <v>124</v>
      </c>
      <c r="Q204">
        <v>101</v>
      </c>
      <c r="R204">
        <v>117</v>
      </c>
      <c r="S204">
        <v>122</v>
      </c>
      <c r="T204">
        <v>124</v>
      </c>
      <c r="U204">
        <v>122</v>
      </c>
      <c r="V204">
        <v>36</v>
      </c>
      <c r="W204">
        <v>491</v>
      </c>
      <c r="X204">
        <v>485</v>
      </c>
      <c r="Y204">
        <v>1113</v>
      </c>
      <c r="Z204">
        <v>227</v>
      </c>
      <c r="AA204">
        <v>345</v>
      </c>
      <c r="AB204">
        <v>121</v>
      </c>
      <c r="AC204">
        <v>244</v>
      </c>
      <c r="AD204">
        <v>241</v>
      </c>
      <c r="AE204" t="s">
        <v>632</v>
      </c>
    </row>
    <row r="205" spans="1:31" x14ac:dyDescent="0.35">
      <c r="A205" t="s">
        <v>648</v>
      </c>
      <c r="B205" s="9" t="s">
        <v>1053</v>
      </c>
      <c r="C205" t="s">
        <v>209</v>
      </c>
      <c r="D205" t="s">
        <v>645</v>
      </c>
      <c r="E205" t="s">
        <v>24</v>
      </c>
      <c r="F205" t="s">
        <v>31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766</v>
      </c>
      <c r="M205">
        <v>120</v>
      </c>
      <c r="N205">
        <v>124</v>
      </c>
      <c r="O205">
        <v>129</v>
      </c>
      <c r="P205">
        <v>129</v>
      </c>
      <c r="Q205">
        <v>101</v>
      </c>
      <c r="R205">
        <v>115</v>
      </c>
      <c r="S205">
        <v>122</v>
      </c>
      <c r="T205">
        <v>119</v>
      </c>
      <c r="U205">
        <v>120</v>
      </c>
      <c r="V205">
        <v>41</v>
      </c>
      <c r="W205">
        <v>502</v>
      </c>
      <c r="X205">
        <v>476</v>
      </c>
      <c r="Y205">
        <v>1120</v>
      </c>
      <c r="Z205">
        <v>221</v>
      </c>
      <c r="AA205">
        <v>354</v>
      </c>
      <c r="AB205">
        <v>129</v>
      </c>
      <c r="AC205">
        <v>242</v>
      </c>
      <c r="AD205">
        <v>234</v>
      </c>
      <c r="AE205" t="s">
        <v>647</v>
      </c>
    </row>
    <row r="206" spans="1:31" x14ac:dyDescent="0.35">
      <c r="A206" t="s">
        <v>997</v>
      </c>
      <c r="B206" s="9" t="s">
        <v>1054</v>
      </c>
      <c r="C206" t="s">
        <v>208</v>
      </c>
      <c r="D206" t="s">
        <v>645</v>
      </c>
      <c r="E206" t="s">
        <v>28</v>
      </c>
      <c r="F206" t="s">
        <v>31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801</v>
      </c>
      <c r="M206">
        <v>118</v>
      </c>
      <c r="N206">
        <v>126</v>
      </c>
      <c r="O206">
        <v>132</v>
      </c>
      <c r="P206">
        <v>131</v>
      </c>
      <c r="Q206">
        <v>101</v>
      </c>
      <c r="R206">
        <v>112</v>
      </c>
      <c r="S206">
        <v>122</v>
      </c>
      <c r="T206">
        <v>117</v>
      </c>
      <c r="U206">
        <v>120</v>
      </c>
      <c r="V206">
        <v>41</v>
      </c>
      <c r="W206">
        <v>507</v>
      </c>
      <c r="X206">
        <v>471</v>
      </c>
      <c r="Y206">
        <v>1120</v>
      </c>
      <c r="Z206">
        <v>219</v>
      </c>
      <c r="AA206">
        <v>358</v>
      </c>
      <c r="AB206">
        <v>132</v>
      </c>
      <c r="AC206">
        <v>242</v>
      </c>
      <c r="AD206">
        <v>229</v>
      </c>
      <c r="AE206" t="s">
        <v>647</v>
      </c>
    </row>
    <row r="207" spans="1:31" x14ac:dyDescent="0.35">
      <c r="A207" t="s">
        <v>1171</v>
      </c>
      <c r="B207" s="9" t="s">
        <v>1067</v>
      </c>
      <c r="C207" t="s">
        <v>1164</v>
      </c>
      <c r="D207" t="s">
        <v>645</v>
      </c>
      <c r="E207" t="s">
        <v>23</v>
      </c>
      <c r="F207" t="s">
        <v>31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766</v>
      </c>
      <c r="M207">
        <v>118</v>
      </c>
      <c r="N207">
        <v>121</v>
      </c>
      <c r="O207">
        <v>131</v>
      </c>
      <c r="P207">
        <v>128</v>
      </c>
      <c r="Q207">
        <v>101</v>
      </c>
      <c r="R207">
        <v>118</v>
      </c>
      <c r="S207">
        <v>122</v>
      </c>
      <c r="T207">
        <v>121</v>
      </c>
      <c r="U207">
        <v>120</v>
      </c>
      <c r="V207">
        <v>41</v>
      </c>
      <c r="W207">
        <v>498</v>
      </c>
      <c r="X207">
        <v>481</v>
      </c>
      <c r="Y207">
        <v>1121</v>
      </c>
      <c r="Z207">
        <v>219</v>
      </c>
      <c r="AA207">
        <v>350</v>
      </c>
      <c r="AB207">
        <v>131</v>
      </c>
      <c r="AC207">
        <v>242</v>
      </c>
      <c r="AD207">
        <v>239</v>
      </c>
      <c r="AE207" t="s">
        <v>647</v>
      </c>
    </row>
    <row r="208" spans="1:31" x14ac:dyDescent="0.35">
      <c r="A208" t="s">
        <v>905</v>
      </c>
      <c r="B208" s="9" t="s">
        <v>1120</v>
      </c>
      <c r="C208" t="s">
        <v>894</v>
      </c>
      <c r="D208" t="s">
        <v>649</v>
      </c>
      <c r="E208" t="s">
        <v>23</v>
      </c>
      <c r="F208" t="s">
        <v>25</v>
      </c>
      <c r="G208" t="s">
        <v>155</v>
      </c>
      <c r="H208" t="s">
        <v>71</v>
      </c>
      <c r="I208" t="s">
        <v>712</v>
      </c>
      <c r="J208" t="s">
        <v>22</v>
      </c>
      <c r="K208" t="s">
        <v>713</v>
      </c>
      <c r="L208" t="s">
        <v>769</v>
      </c>
      <c r="M208">
        <v>133</v>
      </c>
      <c r="N208">
        <v>128</v>
      </c>
      <c r="O208">
        <v>116</v>
      </c>
      <c r="P208">
        <v>122</v>
      </c>
      <c r="Q208">
        <v>101</v>
      </c>
      <c r="R208">
        <v>119</v>
      </c>
      <c r="S208">
        <v>119</v>
      </c>
      <c r="T208">
        <v>129</v>
      </c>
      <c r="U208">
        <v>122</v>
      </c>
      <c r="V208">
        <v>36</v>
      </c>
      <c r="W208">
        <v>499</v>
      </c>
      <c r="X208">
        <v>489</v>
      </c>
      <c r="Y208">
        <v>1125</v>
      </c>
      <c r="Z208">
        <v>234</v>
      </c>
      <c r="AA208">
        <v>351</v>
      </c>
      <c r="AB208">
        <v>116</v>
      </c>
      <c r="AC208">
        <v>241</v>
      </c>
      <c r="AD208">
        <v>248</v>
      </c>
      <c r="AE208" t="s">
        <v>651</v>
      </c>
    </row>
    <row r="209" spans="1:31" x14ac:dyDescent="0.35">
      <c r="A209" t="s">
        <v>1056</v>
      </c>
      <c r="B209" s="9" t="s">
        <v>1123</v>
      </c>
      <c r="C209" t="s">
        <v>1048</v>
      </c>
      <c r="D209" t="s">
        <v>649</v>
      </c>
      <c r="E209" t="s">
        <v>24</v>
      </c>
      <c r="F209" t="s">
        <v>25</v>
      </c>
      <c r="G209" t="s">
        <v>155</v>
      </c>
      <c r="H209" t="s">
        <v>71</v>
      </c>
      <c r="I209" t="s">
        <v>712</v>
      </c>
      <c r="J209" t="s">
        <v>22</v>
      </c>
      <c r="K209" t="s">
        <v>713</v>
      </c>
      <c r="L209" t="s">
        <v>769</v>
      </c>
      <c r="M209">
        <v>132</v>
      </c>
      <c r="N209">
        <v>130</v>
      </c>
      <c r="O209">
        <v>115</v>
      </c>
      <c r="P209">
        <v>123</v>
      </c>
      <c r="Q209">
        <v>101</v>
      </c>
      <c r="R209">
        <v>117</v>
      </c>
      <c r="S209">
        <v>121</v>
      </c>
      <c r="T209">
        <v>128</v>
      </c>
      <c r="U209">
        <v>123</v>
      </c>
      <c r="V209">
        <v>36</v>
      </c>
      <c r="W209">
        <v>500</v>
      </c>
      <c r="X209">
        <v>489</v>
      </c>
      <c r="Y209">
        <v>1126</v>
      </c>
      <c r="Z209">
        <v>233</v>
      </c>
      <c r="AA209">
        <v>354</v>
      </c>
      <c r="AB209">
        <v>115</v>
      </c>
      <c r="AC209">
        <v>244</v>
      </c>
      <c r="AD209">
        <v>245</v>
      </c>
      <c r="AE209" t="s">
        <v>651</v>
      </c>
    </row>
    <row r="210" spans="1:31" x14ac:dyDescent="0.35">
      <c r="A210" t="s">
        <v>921</v>
      </c>
      <c r="B210" s="9" t="s">
        <v>1127</v>
      </c>
      <c r="C210" t="s">
        <v>914</v>
      </c>
      <c r="D210" t="s">
        <v>658</v>
      </c>
      <c r="E210" t="s">
        <v>23</v>
      </c>
      <c r="F210" t="s">
        <v>26</v>
      </c>
      <c r="G210" t="s">
        <v>155</v>
      </c>
      <c r="H210" t="s">
        <v>71</v>
      </c>
      <c r="I210" t="s">
        <v>712</v>
      </c>
      <c r="J210" t="s">
        <v>22</v>
      </c>
      <c r="K210" t="s">
        <v>713</v>
      </c>
      <c r="L210" t="s">
        <v>714</v>
      </c>
      <c r="M210">
        <v>128</v>
      </c>
      <c r="N210">
        <v>123</v>
      </c>
      <c r="O210">
        <v>113</v>
      </c>
      <c r="P210">
        <v>122</v>
      </c>
      <c r="Q210">
        <v>101</v>
      </c>
      <c r="R210">
        <v>134</v>
      </c>
      <c r="S210">
        <v>116</v>
      </c>
      <c r="T210">
        <v>118</v>
      </c>
      <c r="U210">
        <v>118</v>
      </c>
      <c r="V210">
        <v>41</v>
      </c>
      <c r="W210">
        <v>486</v>
      </c>
      <c r="X210">
        <v>486</v>
      </c>
      <c r="Y210">
        <v>1114</v>
      </c>
      <c r="Z210">
        <v>229</v>
      </c>
      <c r="AA210">
        <v>346</v>
      </c>
      <c r="AB210">
        <v>113</v>
      </c>
      <c r="AC210">
        <v>234</v>
      </c>
      <c r="AD210">
        <v>252</v>
      </c>
      <c r="AE210" t="s">
        <v>660</v>
      </c>
    </row>
    <row r="211" spans="1:31" x14ac:dyDescent="0.35">
      <c r="A211" t="s">
        <v>1068</v>
      </c>
      <c r="B211" s="9" t="s">
        <v>1140</v>
      </c>
      <c r="C211" t="s">
        <v>1048</v>
      </c>
      <c r="D211" t="s">
        <v>652</v>
      </c>
      <c r="E211" t="s">
        <v>23</v>
      </c>
      <c r="F211" t="s">
        <v>25</v>
      </c>
      <c r="G211" t="s">
        <v>158</v>
      </c>
      <c r="H211" t="s">
        <v>71</v>
      </c>
      <c r="I211" t="s">
        <v>712</v>
      </c>
      <c r="J211" t="s">
        <v>22</v>
      </c>
      <c r="K211" t="s">
        <v>713</v>
      </c>
      <c r="L211" t="s">
        <v>802</v>
      </c>
      <c r="M211">
        <v>132</v>
      </c>
      <c r="N211">
        <v>129</v>
      </c>
      <c r="O211">
        <v>115</v>
      </c>
      <c r="P211">
        <v>122</v>
      </c>
      <c r="Q211">
        <v>101</v>
      </c>
      <c r="R211">
        <v>119</v>
      </c>
      <c r="S211">
        <v>124</v>
      </c>
      <c r="T211">
        <v>122</v>
      </c>
      <c r="U211">
        <v>121</v>
      </c>
      <c r="V211">
        <v>41</v>
      </c>
      <c r="W211">
        <v>498</v>
      </c>
      <c r="X211">
        <v>486</v>
      </c>
      <c r="Y211">
        <v>1126</v>
      </c>
      <c r="Z211">
        <v>233</v>
      </c>
      <c r="AA211">
        <v>352</v>
      </c>
      <c r="AB211">
        <v>115</v>
      </c>
      <c r="AC211">
        <v>245</v>
      </c>
      <c r="AD211">
        <v>241</v>
      </c>
      <c r="AE211" t="s">
        <v>654</v>
      </c>
    </row>
    <row r="212" spans="1:31" x14ac:dyDescent="0.35">
      <c r="A212" t="s">
        <v>947</v>
      </c>
      <c r="B212" s="9" t="s">
        <v>1151</v>
      </c>
      <c r="C212" t="s">
        <v>934</v>
      </c>
      <c r="D212" t="s">
        <v>686</v>
      </c>
      <c r="E212" t="s">
        <v>28</v>
      </c>
      <c r="F212" t="s">
        <v>25</v>
      </c>
      <c r="G212" t="s">
        <v>688</v>
      </c>
      <c r="H212" t="s">
        <v>71</v>
      </c>
      <c r="I212" t="s">
        <v>712</v>
      </c>
      <c r="J212" t="s">
        <v>22</v>
      </c>
      <c r="K212" t="s">
        <v>713</v>
      </c>
      <c r="L212" t="s">
        <v>783</v>
      </c>
      <c r="M212">
        <v>126</v>
      </c>
      <c r="N212">
        <v>122</v>
      </c>
      <c r="O212">
        <v>119</v>
      </c>
      <c r="P212">
        <v>124</v>
      </c>
      <c r="Q212">
        <v>101</v>
      </c>
      <c r="R212">
        <v>117</v>
      </c>
      <c r="S212">
        <v>123</v>
      </c>
      <c r="T212">
        <v>126</v>
      </c>
      <c r="U212">
        <v>119</v>
      </c>
      <c r="V212">
        <v>36</v>
      </c>
      <c r="W212">
        <v>491</v>
      </c>
      <c r="X212">
        <v>485</v>
      </c>
      <c r="Y212">
        <v>1113</v>
      </c>
      <c r="Z212">
        <v>227</v>
      </c>
      <c r="AA212">
        <v>347</v>
      </c>
      <c r="AB212">
        <v>119</v>
      </c>
      <c r="AC212">
        <v>242</v>
      </c>
      <c r="AD212">
        <v>243</v>
      </c>
      <c r="AE212" t="s">
        <v>693</v>
      </c>
    </row>
    <row r="213" spans="1:31" x14ac:dyDescent="0.35">
      <c r="A213" t="s">
        <v>1169</v>
      </c>
      <c r="B213" s="9" t="s">
        <v>1166</v>
      </c>
      <c r="C213" t="s">
        <v>1164</v>
      </c>
      <c r="D213" t="s">
        <v>857</v>
      </c>
      <c r="E213" t="s">
        <v>28</v>
      </c>
      <c r="F213" t="s">
        <v>25</v>
      </c>
      <c r="G213" t="s">
        <v>688</v>
      </c>
      <c r="H213" t="s">
        <v>71</v>
      </c>
      <c r="I213" t="s">
        <v>712</v>
      </c>
      <c r="J213" t="s">
        <v>22</v>
      </c>
      <c r="K213" t="s">
        <v>713</v>
      </c>
      <c r="L213" t="s">
        <v>714</v>
      </c>
      <c r="M213">
        <v>126</v>
      </c>
      <c r="N213">
        <v>121</v>
      </c>
      <c r="O213">
        <v>115</v>
      </c>
      <c r="P213">
        <v>122</v>
      </c>
      <c r="Q213">
        <v>97</v>
      </c>
      <c r="R213">
        <v>118</v>
      </c>
      <c r="S213">
        <v>116</v>
      </c>
      <c r="T213">
        <v>123</v>
      </c>
      <c r="U213">
        <v>118</v>
      </c>
      <c r="V213">
        <v>31</v>
      </c>
      <c r="W213">
        <v>484</v>
      </c>
      <c r="X213">
        <v>475</v>
      </c>
      <c r="Y213">
        <v>1087</v>
      </c>
      <c r="Z213">
        <v>223</v>
      </c>
      <c r="AA213">
        <v>340</v>
      </c>
      <c r="AB213">
        <v>115</v>
      </c>
      <c r="AC213">
        <v>234</v>
      </c>
      <c r="AD213">
        <v>241</v>
      </c>
      <c r="AE213" t="s">
        <v>869</v>
      </c>
    </row>
    <row r="214" spans="1:31" x14ac:dyDescent="0.35">
      <c r="B214" s="9"/>
    </row>
    <row r="215" spans="1:31" x14ac:dyDescent="0.35">
      <c r="B215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5"/>
  <sheetViews>
    <sheetView topLeftCell="A65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767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773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768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770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721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772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840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782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786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787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789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790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794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795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796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797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742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766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799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744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829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803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805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806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807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808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811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712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1173</v>
      </c>
      <c r="B41" t="s">
        <v>812</v>
      </c>
      <c r="C41" t="s">
        <v>1164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 t="s">
        <v>813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 t="s">
        <v>814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 t="s">
        <v>817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 t="s">
        <v>847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 t="s">
        <v>762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 t="s">
        <v>730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 t="s">
        <v>716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 t="s">
        <v>720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 t="s">
        <v>756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 t="s">
        <v>724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 t="s">
        <v>739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 t="s">
        <v>740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963</v>
      </c>
      <c r="B54" t="s">
        <v>760</v>
      </c>
      <c r="C54" t="s">
        <v>958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 t="s">
        <v>818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 t="s">
        <v>821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 t="s">
        <v>711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 t="s">
        <v>722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 t="s">
        <v>885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 t="s">
        <v>887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 t="s">
        <v>889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944</v>
      </c>
      <c r="B62" t="s">
        <v>891</v>
      </c>
      <c r="C62" t="s">
        <v>934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599</v>
      </c>
      <c r="B63" t="s">
        <v>902</v>
      </c>
      <c r="C63" t="s">
        <v>206</v>
      </c>
      <c r="D63" t="s">
        <v>598</v>
      </c>
      <c r="E63" t="s">
        <v>28</v>
      </c>
      <c r="F63" t="s">
        <v>25</v>
      </c>
      <c r="G63" t="s">
        <v>157</v>
      </c>
      <c r="H63" t="s">
        <v>71</v>
      </c>
      <c r="I63">
        <v>123</v>
      </c>
      <c r="J63">
        <v>120</v>
      </c>
      <c r="K63">
        <v>118</v>
      </c>
      <c r="L63">
        <v>123</v>
      </c>
      <c r="M63">
        <v>101</v>
      </c>
      <c r="N63">
        <v>118</v>
      </c>
      <c r="O63">
        <v>118</v>
      </c>
      <c r="P63">
        <v>121</v>
      </c>
      <c r="Q63">
        <v>121</v>
      </c>
      <c r="R63">
        <v>36</v>
      </c>
      <c r="S63">
        <v>484</v>
      </c>
      <c r="T63">
        <v>478</v>
      </c>
      <c r="U63">
        <v>1099</v>
      </c>
      <c r="V63">
        <v>224</v>
      </c>
      <c r="W63">
        <v>344</v>
      </c>
      <c r="X63">
        <v>118</v>
      </c>
      <c r="Y63">
        <v>239</v>
      </c>
      <c r="Z63">
        <v>239</v>
      </c>
      <c r="AA63" t="s">
        <v>600</v>
      </c>
    </row>
    <row r="64" spans="1:27" x14ac:dyDescent="0.35">
      <c r="A64" t="s">
        <v>703</v>
      </c>
      <c r="B64" t="s">
        <v>903</v>
      </c>
      <c r="C64" t="s">
        <v>701</v>
      </c>
      <c r="D64" t="s">
        <v>598</v>
      </c>
      <c r="E64" t="s">
        <v>23</v>
      </c>
      <c r="F64" t="s">
        <v>25</v>
      </c>
      <c r="G64" t="s">
        <v>157</v>
      </c>
      <c r="H64" t="s">
        <v>71</v>
      </c>
      <c r="I64">
        <v>126</v>
      </c>
      <c r="J64">
        <v>123</v>
      </c>
      <c r="K64">
        <v>119</v>
      </c>
      <c r="L64">
        <v>124</v>
      </c>
      <c r="M64">
        <v>101</v>
      </c>
      <c r="N64">
        <v>119</v>
      </c>
      <c r="O64">
        <v>119</v>
      </c>
      <c r="P64">
        <v>124</v>
      </c>
      <c r="Q64">
        <v>122</v>
      </c>
      <c r="R64">
        <v>41</v>
      </c>
      <c r="S64">
        <v>492</v>
      </c>
      <c r="T64">
        <v>484</v>
      </c>
      <c r="U64">
        <v>1118</v>
      </c>
      <c r="V64">
        <v>227</v>
      </c>
      <c r="W64">
        <v>348</v>
      </c>
      <c r="X64">
        <v>119</v>
      </c>
      <c r="Y64">
        <v>241</v>
      </c>
      <c r="Z64">
        <v>243</v>
      </c>
      <c r="AA64" t="s">
        <v>600</v>
      </c>
    </row>
    <row r="65" spans="1:27" x14ac:dyDescent="0.35">
      <c r="A65" t="s">
        <v>605</v>
      </c>
      <c r="B65" t="s">
        <v>917</v>
      </c>
      <c r="C65" t="s">
        <v>206</v>
      </c>
      <c r="D65" t="s">
        <v>604</v>
      </c>
      <c r="E65" t="s">
        <v>23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97</v>
      </c>
      <c r="N65">
        <v>118</v>
      </c>
      <c r="O65">
        <v>118</v>
      </c>
      <c r="P65">
        <v>121</v>
      </c>
      <c r="Q65">
        <v>121</v>
      </c>
      <c r="R65">
        <v>31</v>
      </c>
      <c r="S65">
        <v>484</v>
      </c>
      <c r="T65">
        <v>478</v>
      </c>
      <c r="U65">
        <v>1090</v>
      </c>
      <c r="V65">
        <v>220</v>
      </c>
      <c r="W65">
        <v>340</v>
      </c>
      <c r="X65">
        <v>118</v>
      </c>
      <c r="Y65">
        <v>239</v>
      </c>
      <c r="Z65">
        <v>239</v>
      </c>
      <c r="AA65" t="s">
        <v>606</v>
      </c>
    </row>
    <row r="66" spans="1:27" x14ac:dyDescent="0.35">
      <c r="A66" t="s">
        <v>618</v>
      </c>
      <c r="B66" t="s">
        <v>942</v>
      </c>
      <c r="C66" t="s">
        <v>206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>
        <v>127</v>
      </c>
      <c r="J66">
        <v>120</v>
      </c>
      <c r="K66">
        <v>116</v>
      </c>
      <c r="L66">
        <v>121</v>
      </c>
      <c r="M66">
        <v>101</v>
      </c>
      <c r="N66">
        <v>123</v>
      </c>
      <c r="O66">
        <v>119</v>
      </c>
      <c r="P66">
        <v>122</v>
      </c>
      <c r="Q66">
        <v>119</v>
      </c>
      <c r="R66">
        <v>31</v>
      </c>
      <c r="S66">
        <v>484</v>
      </c>
      <c r="T66">
        <v>483</v>
      </c>
      <c r="U66">
        <v>1099</v>
      </c>
      <c r="V66">
        <v>228</v>
      </c>
      <c r="W66">
        <v>342</v>
      </c>
      <c r="X66">
        <v>116</v>
      </c>
      <c r="Y66">
        <v>238</v>
      </c>
      <c r="Z66">
        <v>245</v>
      </c>
      <c r="AA66" t="s">
        <v>619</v>
      </c>
    </row>
    <row r="67" spans="1:27" x14ac:dyDescent="0.35">
      <c r="A67" t="s">
        <v>1082</v>
      </c>
      <c r="B67" t="s">
        <v>946</v>
      </c>
      <c r="C67" t="s">
        <v>1074</v>
      </c>
      <c r="D67" t="s">
        <v>617</v>
      </c>
      <c r="E67" t="s">
        <v>24</v>
      </c>
      <c r="F67" t="s">
        <v>25</v>
      </c>
      <c r="G67" t="s">
        <v>190</v>
      </c>
      <c r="H67" t="s">
        <v>71</v>
      </c>
      <c r="I67">
        <v>130</v>
      </c>
      <c r="J67">
        <v>123</v>
      </c>
      <c r="K67">
        <v>117</v>
      </c>
      <c r="L67">
        <v>122</v>
      </c>
      <c r="M67">
        <v>101</v>
      </c>
      <c r="N67">
        <v>124</v>
      </c>
      <c r="O67">
        <v>120</v>
      </c>
      <c r="P67">
        <v>125</v>
      </c>
      <c r="Q67">
        <v>120</v>
      </c>
      <c r="R67">
        <v>31</v>
      </c>
      <c r="S67">
        <v>492</v>
      </c>
      <c r="T67">
        <v>489</v>
      </c>
      <c r="U67">
        <v>1113</v>
      </c>
      <c r="V67">
        <v>231</v>
      </c>
      <c r="W67">
        <v>346</v>
      </c>
      <c r="X67">
        <v>117</v>
      </c>
      <c r="Y67">
        <v>240</v>
      </c>
      <c r="Z67">
        <v>249</v>
      </c>
      <c r="AA67" t="s">
        <v>619</v>
      </c>
    </row>
    <row r="68" spans="1:27" x14ac:dyDescent="0.35">
      <c r="A68" t="s">
        <v>624</v>
      </c>
      <c r="B68" t="s">
        <v>962</v>
      </c>
      <c r="C68" t="s">
        <v>206</v>
      </c>
      <c r="D68" t="s">
        <v>623</v>
      </c>
      <c r="E68" t="s">
        <v>28</v>
      </c>
      <c r="F68" t="s">
        <v>25</v>
      </c>
      <c r="G68" t="s">
        <v>190</v>
      </c>
      <c r="H68" t="s">
        <v>71</v>
      </c>
      <c r="I68">
        <v>125</v>
      </c>
      <c r="J68">
        <v>119</v>
      </c>
      <c r="K68">
        <v>115</v>
      </c>
      <c r="L68">
        <v>119</v>
      </c>
      <c r="M68">
        <v>97</v>
      </c>
      <c r="N68">
        <v>118</v>
      </c>
      <c r="O68">
        <v>121</v>
      </c>
      <c r="P68">
        <v>120</v>
      </c>
      <c r="Q68">
        <v>121</v>
      </c>
      <c r="R68">
        <v>36</v>
      </c>
      <c r="S68">
        <v>478</v>
      </c>
      <c r="T68">
        <v>480</v>
      </c>
      <c r="U68">
        <v>1091</v>
      </c>
      <c r="V68">
        <v>222</v>
      </c>
      <c r="W68">
        <v>335</v>
      </c>
      <c r="X68">
        <v>115</v>
      </c>
      <c r="Y68">
        <v>242</v>
      </c>
      <c r="Z68">
        <v>238</v>
      </c>
      <c r="AA68" t="s">
        <v>625</v>
      </c>
    </row>
    <row r="69" spans="1:27" x14ac:dyDescent="0.35">
      <c r="A69" t="s">
        <v>933</v>
      </c>
      <c r="B69" t="s">
        <v>971</v>
      </c>
      <c r="C69" t="s">
        <v>914</v>
      </c>
      <c r="D69" t="s">
        <v>623</v>
      </c>
      <c r="E69" t="s">
        <v>23</v>
      </c>
      <c r="F69" t="s">
        <v>25</v>
      </c>
      <c r="G69" t="s">
        <v>190</v>
      </c>
      <c r="H69" t="s">
        <v>71</v>
      </c>
      <c r="I69">
        <v>128</v>
      </c>
      <c r="J69">
        <v>122</v>
      </c>
      <c r="K69">
        <v>116</v>
      </c>
      <c r="L69">
        <v>120</v>
      </c>
      <c r="M69">
        <v>97</v>
      </c>
      <c r="N69">
        <v>119</v>
      </c>
      <c r="O69">
        <v>122</v>
      </c>
      <c r="P69">
        <v>123</v>
      </c>
      <c r="Q69">
        <v>122</v>
      </c>
      <c r="R69">
        <v>36</v>
      </c>
      <c r="S69">
        <v>486</v>
      </c>
      <c r="T69">
        <v>486</v>
      </c>
      <c r="U69">
        <v>1105</v>
      </c>
      <c r="V69">
        <v>225</v>
      </c>
      <c r="W69">
        <v>339</v>
      </c>
      <c r="X69">
        <v>116</v>
      </c>
      <c r="Y69">
        <v>244</v>
      </c>
      <c r="Z69">
        <v>242</v>
      </c>
      <c r="AA69" t="s">
        <v>625</v>
      </c>
    </row>
    <row r="70" spans="1:27" x14ac:dyDescent="0.35">
      <c r="A70" t="s">
        <v>674</v>
      </c>
      <c r="B70" t="s">
        <v>980</v>
      </c>
      <c r="C70" t="s">
        <v>206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>
        <v>127</v>
      </c>
      <c r="J70">
        <v>122</v>
      </c>
      <c r="K70">
        <v>113</v>
      </c>
      <c r="L70">
        <v>117</v>
      </c>
      <c r="M70">
        <v>101</v>
      </c>
      <c r="N70">
        <v>117</v>
      </c>
      <c r="O70">
        <v>115</v>
      </c>
      <c r="P70">
        <v>120</v>
      </c>
      <c r="Q70">
        <v>115</v>
      </c>
      <c r="R70">
        <v>31</v>
      </c>
      <c r="S70">
        <v>479</v>
      </c>
      <c r="T70">
        <v>467</v>
      </c>
      <c r="U70">
        <v>1078</v>
      </c>
      <c r="V70">
        <v>228</v>
      </c>
      <c r="W70">
        <v>340</v>
      </c>
      <c r="X70">
        <v>113</v>
      </c>
      <c r="Y70">
        <v>230</v>
      </c>
      <c r="Z70">
        <v>237</v>
      </c>
      <c r="AA70" t="s">
        <v>675</v>
      </c>
    </row>
    <row r="71" spans="1:27" x14ac:dyDescent="0.35">
      <c r="A71" t="s">
        <v>981</v>
      </c>
      <c r="B71" t="s">
        <v>986</v>
      </c>
      <c r="C71" t="s">
        <v>958</v>
      </c>
      <c r="D71" t="s">
        <v>673</v>
      </c>
      <c r="E71" t="s">
        <v>28</v>
      </c>
      <c r="F71" t="s">
        <v>25</v>
      </c>
      <c r="G71" t="s">
        <v>190</v>
      </c>
      <c r="H71" t="s">
        <v>71</v>
      </c>
      <c r="I71">
        <v>130</v>
      </c>
      <c r="J71">
        <v>125</v>
      </c>
      <c r="K71">
        <v>114</v>
      </c>
      <c r="L71">
        <v>118</v>
      </c>
      <c r="M71">
        <v>101</v>
      </c>
      <c r="N71">
        <v>118</v>
      </c>
      <c r="O71">
        <v>116</v>
      </c>
      <c r="P71">
        <v>123</v>
      </c>
      <c r="Q71">
        <v>116</v>
      </c>
      <c r="R71">
        <v>31</v>
      </c>
      <c r="S71">
        <v>487</v>
      </c>
      <c r="T71">
        <v>473</v>
      </c>
      <c r="U71">
        <v>1092</v>
      </c>
      <c r="V71">
        <v>231</v>
      </c>
      <c r="W71">
        <v>344</v>
      </c>
      <c r="X71">
        <v>114</v>
      </c>
      <c r="Y71">
        <v>232</v>
      </c>
      <c r="Z71">
        <v>241</v>
      </c>
      <c r="AA71" t="s">
        <v>675</v>
      </c>
    </row>
    <row r="72" spans="1:27" x14ac:dyDescent="0.35">
      <c r="A72" t="s">
        <v>683</v>
      </c>
      <c r="B72" t="s">
        <v>994</v>
      </c>
      <c r="C72" t="s">
        <v>206</v>
      </c>
      <c r="D72" t="s">
        <v>682</v>
      </c>
      <c r="E72" t="s">
        <v>28</v>
      </c>
      <c r="F72" t="s">
        <v>25</v>
      </c>
      <c r="G72" t="s">
        <v>190</v>
      </c>
      <c r="H72" t="s">
        <v>71</v>
      </c>
      <c r="I72">
        <v>121</v>
      </c>
      <c r="J72">
        <v>126</v>
      </c>
      <c r="K72">
        <v>112</v>
      </c>
      <c r="L72">
        <v>115</v>
      </c>
      <c r="M72">
        <v>97</v>
      </c>
      <c r="N72">
        <v>115</v>
      </c>
      <c r="O72">
        <v>115</v>
      </c>
      <c r="P72">
        <v>118</v>
      </c>
      <c r="Q72">
        <v>117</v>
      </c>
      <c r="R72">
        <v>31</v>
      </c>
      <c r="S72">
        <v>474</v>
      </c>
      <c r="T72">
        <v>465</v>
      </c>
      <c r="U72">
        <v>1067</v>
      </c>
      <c r="V72">
        <v>218</v>
      </c>
      <c r="W72">
        <v>338</v>
      </c>
      <c r="X72">
        <v>112</v>
      </c>
      <c r="Y72">
        <v>232</v>
      </c>
      <c r="Z72">
        <v>233</v>
      </c>
      <c r="AA72" t="s">
        <v>684</v>
      </c>
    </row>
    <row r="73" spans="1:27" x14ac:dyDescent="0.35">
      <c r="A73" t="s">
        <v>1181</v>
      </c>
      <c r="B73" t="s">
        <v>996</v>
      </c>
      <c r="C73" t="s">
        <v>206</v>
      </c>
      <c r="D73" t="s">
        <v>1177</v>
      </c>
      <c r="E73" t="s">
        <v>28</v>
      </c>
      <c r="F73" t="s">
        <v>25</v>
      </c>
      <c r="G73" t="s">
        <v>190</v>
      </c>
      <c r="H73" t="s">
        <v>71</v>
      </c>
      <c r="I73">
        <v>122</v>
      </c>
      <c r="J73">
        <v>117</v>
      </c>
      <c r="K73">
        <v>113</v>
      </c>
      <c r="L73">
        <v>118</v>
      </c>
      <c r="M73">
        <v>101</v>
      </c>
      <c r="N73">
        <v>117</v>
      </c>
      <c r="O73">
        <v>117</v>
      </c>
      <c r="P73">
        <v>117</v>
      </c>
      <c r="Q73">
        <v>118</v>
      </c>
      <c r="R73">
        <v>36</v>
      </c>
      <c r="S73">
        <v>470</v>
      </c>
      <c r="T73">
        <v>469</v>
      </c>
      <c r="U73">
        <v>1076</v>
      </c>
      <c r="V73">
        <v>223</v>
      </c>
      <c r="W73">
        <v>336</v>
      </c>
      <c r="X73">
        <v>113</v>
      </c>
      <c r="Y73">
        <v>235</v>
      </c>
      <c r="Z73">
        <v>234</v>
      </c>
      <c r="AA73" t="s">
        <v>1179</v>
      </c>
    </row>
    <row r="74" spans="1:27" x14ac:dyDescent="0.35">
      <c r="A74" t="s">
        <v>627</v>
      </c>
      <c r="B74" t="s">
        <v>1002</v>
      </c>
      <c r="C74" t="s">
        <v>206</v>
      </c>
      <c r="D74" t="s">
        <v>626</v>
      </c>
      <c r="E74" t="s">
        <v>24</v>
      </c>
      <c r="F74" t="s">
        <v>25</v>
      </c>
      <c r="G74" t="s">
        <v>154</v>
      </c>
      <c r="H74" t="s">
        <v>71</v>
      </c>
      <c r="I74">
        <v>128</v>
      </c>
      <c r="J74">
        <v>127</v>
      </c>
      <c r="K74">
        <v>114</v>
      </c>
      <c r="L74">
        <v>119</v>
      </c>
      <c r="M74">
        <v>101</v>
      </c>
      <c r="N74">
        <v>118</v>
      </c>
      <c r="O74">
        <v>121</v>
      </c>
      <c r="P74">
        <v>121</v>
      </c>
      <c r="Q74">
        <v>121</v>
      </c>
      <c r="R74">
        <v>26</v>
      </c>
      <c r="S74">
        <v>488</v>
      </c>
      <c r="T74">
        <v>481</v>
      </c>
      <c r="U74">
        <v>1096</v>
      </c>
      <c r="V74">
        <v>229</v>
      </c>
      <c r="W74">
        <v>347</v>
      </c>
      <c r="X74">
        <v>114</v>
      </c>
      <c r="Y74">
        <v>242</v>
      </c>
      <c r="Z74">
        <v>239</v>
      </c>
      <c r="AA74" t="s">
        <v>628</v>
      </c>
    </row>
    <row r="75" spans="1:27" x14ac:dyDescent="0.35">
      <c r="A75" t="s">
        <v>629</v>
      </c>
      <c r="B75" t="s">
        <v>1004</v>
      </c>
      <c r="C75" t="s">
        <v>209</v>
      </c>
      <c r="D75" t="s">
        <v>626</v>
      </c>
      <c r="E75" t="s">
        <v>28</v>
      </c>
      <c r="F75" t="s">
        <v>25</v>
      </c>
      <c r="G75" t="s">
        <v>154</v>
      </c>
      <c r="H75" t="s">
        <v>71</v>
      </c>
      <c r="I75">
        <v>131</v>
      </c>
      <c r="J75">
        <v>130</v>
      </c>
      <c r="K75">
        <v>115</v>
      </c>
      <c r="L75">
        <v>120</v>
      </c>
      <c r="M75">
        <v>101</v>
      </c>
      <c r="N75">
        <v>119</v>
      </c>
      <c r="O75">
        <v>122</v>
      </c>
      <c r="P75">
        <v>124</v>
      </c>
      <c r="Q75">
        <v>122</v>
      </c>
      <c r="R75">
        <v>26</v>
      </c>
      <c r="S75">
        <v>496</v>
      </c>
      <c r="T75">
        <v>487</v>
      </c>
      <c r="U75">
        <v>1110</v>
      </c>
      <c r="V75">
        <v>232</v>
      </c>
      <c r="W75">
        <v>351</v>
      </c>
      <c r="X75">
        <v>115</v>
      </c>
      <c r="Y75">
        <v>244</v>
      </c>
      <c r="Z75">
        <v>243</v>
      </c>
      <c r="AA75" t="s">
        <v>628</v>
      </c>
    </row>
    <row r="76" spans="1:27" x14ac:dyDescent="0.35">
      <c r="A76" t="s">
        <v>924</v>
      </c>
      <c r="B76" t="s">
        <v>1006</v>
      </c>
      <c r="C76" t="s">
        <v>914</v>
      </c>
      <c r="D76" t="s">
        <v>626</v>
      </c>
      <c r="E76" t="s">
        <v>23</v>
      </c>
      <c r="F76" t="s">
        <v>25</v>
      </c>
      <c r="G76" t="s">
        <v>154</v>
      </c>
      <c r="H76" t="s">
        <v>71</v>
      </c>
      <c r="I76">
        <v>133</v>
      </c>
      <c r="J76">
        <v>128</v>
      </c>
      <c r="K76">
        <v>115</v>
      </c>
      <c r="L76">
        <v>118</v>
      </c>
      <c r="M76">
        <v>101</v>
      </c>
      <c r="N76">
        <v>121</v>
      </c>
      <c r="O76">
        <v>122</v>
      </c>
      <c r="P76">
        <v>126</v>
      </c>
      <c r="Q76">
        <v>121</v>
      </c>
      <c r="R76">
        <v>26</v>
      </c>
      <c r="S76">
        <v>494</v>
      </c>
      <c r="T76">
        <v>490</v>
      </c>
      <c r="U76">
        <v>1111</v>
      </c>
      <c r="V76">
        <v>234</v>
      </c>
      <c r="W76">
        <v>347</v>
      </c>
      <c r="X76">
        <v>115</v>
      </c>
      <c r="Y76">
        <v>243</v>
      </c>
      <c r="Z76">
        <v>247</v>
      </c>
      <c r="AA76" t="s">
        <v>628</v>
      </c>
    </row>
    <row r="77" spans="1:27" x14ac:dyDescent="0.35">
      <c r="A77" t="s">
        <v>995</v>
      </c>
      <c r="B77" t="s">
        <v>1012</v>
      </c>
      <c r="C77" t="s">
        <v>208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134</v>
      </c>
      <c r="J77">
        <v>127</v>
      </c>
      <c r="K77">
        <v>115</v>
      </c>
      <c r="L77">
        <v>117</v>
      </c>
      <c r="M77">
        <v>101</v>
      </c>
      <c r="N77">
        <v>119</v>
      </c>
      <c r="O77">
        <v>125</v>
      </c>
      <c r="P77">
        <v>124</v>
      </c>
      <c r="Q77">
        <v>124</v>
      </c>
      <c r="R77">
        <v>26</v>
      </c>
      <c r="S77">
        <v>493</v>
      </c>
      <c r="T77">
        <v>492</v>
      </c>
      <c r="U77">
        <v>1112</v>
      </c>
      <c r="V77">
        <v>235</v>
      </c>
      <c r="W77">
        <v>345</v>
      </c>
      <c r="X77">
        <v>115</v>
      </c>
      <c r="Y77">
        <v>249</v>
      </c>
      <c r="Z77">
        <v>243</v>
      </c>
      <c r="AA77" t="s">
        <v>628</v>
      </c>
    </row>
    <row r="78" spans="1:27" x14ac:dyDescent="0.35">
      <c r="A78" t="s">
        <v>631</v>
      </c>
      <c r="B78" t="s">
        <v>1013</v>
      </c>
      <c r="C78" t="s">
        <v>206</v>
      </c>
      <c r="D78" t="s">
        <v>630</v>
      </c>
      <c r="E78" t="s">
        <v>24</v>
      </c>
      <c r="F78" t="s">
        <v>25</v>
      </c>
      <c r="G78" t="s">
        <v>154</v>
      </c>
      <c r="H78" t="s">
        <v>71</v>
      </c>
      <c r="I78">
        <v>123</v>
      </c>
      <c r="J78">
        <v>117</v>
      </c>
      <c r="K78">
        <v>120</v>
      </c>
      <c r="L78">
        <v>123</v>
      </c>
      <c r="M78">
        <v>101</v>
      </c>
      <c r="N78">
        <v>116</v>
      </c>
      <c r="O78">
        <v>121</v>
      </c>
      <c r="P78">
        <v>121</v>
      </c>
      <c r="Q78">
        <v>121</v>
      </c>
      <c r="R78">
        <v>36</v>
      </c>
      <c r="S78">
        <v>483</v>
      </c>
      <c r="T78">
        <v>479</v>
      </c>
      <c r="U78">
        <v>1099</v>
      </c>
      <c r="V78">
        <v>224</v>
      </c>
      <c r="W78">
        <v>341</v>
      </c>
      <c r="X78">
        <v>120</v>
      </c>
      <c r="Y78">
        <v>242</v>
      </c>
      <c r="Z78">
        <v>237</v>
      </c>
      <c r="AA78" t="s">
        <v>632</v>
      </c>
    </row>
    <row r="79" spans="1:27" x14ac:dyDescent="0.35">
      <c r="A79" t="s">
        <v>664</v>
      </c>
      <c r="B79" t="s">
        <v>1019</v>
      </c>
      <c r="C79" t="s">
        <v>391</v>
      </c>
      <c r="D79" t="s">
        <v>630</v>
      </c>
      <c r="E79" t="s">
        <v>28</v>
      </c>
      <c r="F79" t="s">
        <v>25</v>
      </c>
      <c r="G79" t="s">
        <v>154</v>
      </c>
      <c r="H79" t="s">
        <v>71</v>
      </c>
      <c r="I79">
        <v>126</v>
      </c>
      <c r="J79">
        <v>120</v>
      </c>
      <c r="K79">
        <v>121</v>
      </c>
      <c r="L79">
        <v>124</v>
      </c>
      <c r="M79">
        <v>101</v>
      </c>
      <c r="N79">
        <v>117</v>
      </c>
      <c r="O79">
        <v>122</v>
      </c>
      <c r="P79">
        <v>124</v>
      </c>
      <c r="Q79">
        <v>122</v>
      </c>
      <c r="R79">
        <v>36</v>
      </c>
      <c r="S79">
        <v>491</v>
      </c>
      <c r="T79">
        <v>485</v>
      </c>
      <c r="U79">
        <v>1113</v>
      </c>
      <c r="V79">
        <v>227</v>
      </c>
      <c r="W79">
        <v>345</v>
      </c>
      <c r="X79">
        <v>121</v>
      </c>
      <c r="Y79">
        <v>244</v>
      </c>
      <c r="Z79">
        <v>241</v>
      </c>
      <c r="AA79" t="s">
        <v>632</v>
      </c>
    </row>
    <row r="80" spans="1:27" x14ac:dyDescent="0.35">
      <c r="A80" t="s">
        <v>634</v>
      </c>
      <c r="B80" t="s">
        <v>1038</v>
      </c>
      <c r="C80" t="s">
        <v>206</v>
      </c>
      <c r="D80" t="s">
        <v>633</v>
      </c>
      <c r="E80" t="s">
        <v>24</v>
      </c>
      <c r="F80" t="s">
        <v>25</v>
      </c>
      <c r="G80" t="s">
        <v>154</v>
      </c>
      <c r="H80" t="s">
        <v>71</v>
      </c>
      <c r="I80">
        <v>123</v>
      </c>
      <c r="J80">
        <v>119</v>
      </c>
      <c r="K80">
        <v>116</v>
      </c>
      <c r="L80">
        <v>121</v>
      </c>
      <c r="M80">
        <v>97</v>
      </c>
      <c r="N80">
        <v>121</v>
      </c>
      <c r="O80">
        <v>121</v>
      </c>
      <c r="P80">
        <v>123</v>
      </c>
      <c r="Q80">
        <v>118</v>
      </c>
      <c r="R80">
        <v>41</v>
      </c>
      <c r="S80">
        <v>479</v>
      </c>
      <c r="T80">
        <v>483</v>
      </c>
      <c r="U80">
        <v>1100</v>
      </c>
      <c r="V80">
        <v>220</v>
      </c>
      <c r="W80">
        <v>337</v>
      </c>
      <c r="X80">
        <v>116</v>
      </c>
      <c r="Y80">
        <v>239</v>
      </c>
      <c r="Z80">
        <v>244</v>
      </c>
      <c r="AA80" t="s">
        <v>635</v>
      </c>
    </row>
    <row r="81" spans="1:27" x14ac:dyDescent="0.35">
      <c r="A81" t="s">
        <v>1119</v>
      </c>
      <c r="B81" t="s">
        <v>1069</v>
      </c>
      <c r="C81" t="s">
        <v>206</v>
      </c>
      <c r="D81" t="s">
        <v>1115</v>
      </c>
      <c r="E81" t="s">
        <v>24</v>
      </c>
      <c r="F81" t="s">
        <v>25</v>
      </c>
      <c r="G81" t="s">
        <v>1101</v>
      </c>
      <c r="H81" t="s">
        <v>71</v>
      </c>
      <c r="I81">
        <v>118</v>
      </c>
      <c r="J81">
        <v>125</v>
      </c>
      <c r="K81">
        <v>115</v>
      </c>
      <c r="L81">
        <v>123</v>
      </c>
      <c r="M81">
        <v>101</v>
      </c>
      <c r="N81">
        <v>114</v>
      </c>
      <c r="O81">
        <v>116</v>
      </c>
      <c r="P81">
        <v>115</v>
      </c>
      <c r="Q81">
        <v>118</v>
      </c>
      <c r="R81">
        <v>31</v>
      </c>
      <c r="S81">
        <v>481</v>
      </c>
      <c r="T81">
        <v>463</v>
      </c>
      <c r="U81">
        <v>1076</v>
      </c>
      <c r="V81">
        <v>219</v>
      </c>
      <c r="W81">
        <v>349</v>
      </c>
      <c r="X81">
        <v>115</v>
      </c>
      <c r="Y81">
        <v>234</v>
      </c>
      <c r="Z81">
        <v>229</v>
      </c>
      <c r="AA81" t="s">
        <v>1117</v>
      </c>
    </row>
    <row r="82" spans="1:27" x14ac:dyDescent="0.35">
      <c r="A82" t="s">
        <v>1150</v>
      </c>
      <c r="B82" t="s">
        <v>1078</v>
      </c>
      <c r="C82" t="s">
        <v>206</v>
      </c>
      <c r="D82" t="s">
        <v>1146</v>
      </c>
      <c r="E82" t="s">
        <v>23</v>
      </c>
      <c r="F82" t="s">
        <v>25</v>
      </c>
      <c r="G82" t="s">
        <v>1101</v>
      </c>
      <c r="H82" t="s">
        <v>71</v>
      </c>
      <c r="I82">
        <v>120</v>
      </c>
      <c r="J82">
        <v>117</v>
      </c>
      <c r="K82">
        <v>113</v>
      </c>
      <c r="L82">
        <v>119</v>
      </c>
      <c r="M82">
        <v>101</v>
      </c>
      <c r="N82">
        <v>119</v>
      </c>
      <c r="O82">
        <v>117</v>
      </c>
      <c r="P82">
        <v>118</v>
      </c>
      <c r="Q82">
        <v>117</v>
      </c>
      <c r="R82">
        <v>36</v>
      </c>
      <c r="S82">
        <v>469</v>
      </c>
      <c r="T82">
        <v>471</v>
      </c>
      <c r="U82">
        <v>1077</v>
      </c>
      <c r="V82">
        <v>221</v>
      </c>
      <c r="W82">
        <v>337</v>
      </c>
      <c r="X82">
        <v>113</v>
      </c>
      <c r="Y82">
        <v>234</v>
      </c>
      <c r="Z82">
        <v>237</v>
      </c>
      <c r="AA82" t="s">
        <v>1148</v>
      </c>
    </row>
    <row r="83" spans="1:27" x14ac:dyDescent="0.35">
      <c r="A83" t="s">
        <v>1154</v>
      </c>
      <c r="B83" t="s">
        <v>1081</v>
      </c>
      <c r="C83" t="s">
        <v>206</v>
      </c>
      <c r="D83" t="s">
        <v>1155</v>
      </c>
      <c r="E83" t="s">
        <v>24</v>
      </c>
      <c r="F83" t="s">
        <v>25</v>
      </c>
      <c r="G83" t="s">
        <v>1101</v>
      </c>
      <c r="H83" t="s">
        <v>71</v>
      </c>
      <c r="I83">
        <v>120</v>
      </c>
      <c r="J83">
        <v>113</v>
      </c>
      <c r="K83">
        <v>112</v>
      </c>
      <c r="L83">
        <v>119</v>
      </c>
      <c r="M83">
        <v>97</v>
      </c>
      <c r="N83">
        <v>118</v>
      </c>
      <c r="O83">
        <v>118</v>
      </c>
      <c r="P83">
        <v>117</v>
      </c>
      <c r="Q83">
        <v>117</v>
      </c>
      <c r="R83">
        <v>41</v>
      </c>
      <c r="S83">
        <v>464</v>
      </c>
      <c r="T83">
        <v>470</v>
      </c>
      <c r="U83">
        <v>1072</v>
      </c>
      <c r="V83">
        <v>217</v>
      </c>
      <c r="W83">
        <v>329</v>
      </c>
      <c r="X83">
        <v>112</v>
      </c>
      <c r="Y83">
        <v>235</v>
      </c>
      <c r="Z83">
        <v>235</v>
      </c>
      <c r="AA83" t="s">
        <v>1156</v>
      </c>
    </row>
    <row r="84" spans="1:27" x14ac:dyDescent="0.35">
      <c r="A84" t="s">
        <v>1113</v>
      </c>
      <c r="B84" t="s">
        <v>1108</v>
      </c>
      <c r="C84" t="s">
        <v>206</v>
      </c>
      <c r="D84" t="s">
        <v>1109</v>
      </c>
      <c r="E84" t="s">
        <v>24</v>
      </c>
      <c r="F84" t="s">
        <v>25</v>
      </c>
      <c r="G84" t="s">
        <v>1101</v>
      </c>
      <c r="H84" t="s">
        <v>71</v>
      </c>
      <c r="I84">
        <v>127</v>
      </c>
      <c r="J84">
        <v>116</v>
      </c>
      <c r="K84">
        <v>112</v>
      </c>
      <c r="L84">
        <v>119</v>
      </c>
      <c r="M84">
        <v>97</v>
      </c>
      <c r="N84">
        <v>117</v>
      </c>
      <c r="O84">
        <v>114</v>
      </c>
      <c r="P84">
        <v>118</v>
      </c>
      <c r="Q84">
        <v>116</v>
      </c>
      <c r="R84">
        <v>36</v>
      </c>
      <c r="S84">
        <v>474</v>
      </c>
      <c r="T84">
        <v>465</v>
      </c>
      <c r="U84">
        <v>1072</v>
      </c>
      <c r="V84">
        <v>224</v>
      </c>
      <c r="W84">
        <v>332</v>
      </c>
      <c r="X84">
        <v>112</v>
      </c>
      <c r="Y84">
        <v>230</v>
      </c>
      <c r="Z84">
        <v>235</v>
      </c>
      <c r="AA84" t="s">
        <v>1111</v>
      </c>
    </row>
    <row r="85" spans="1:27" x14ac:dyDescent="0.35">
      <c r="A85" t="s">
        <v>650</v>
      </c>
      <c r="B85" t="s">
        <v>1114</v>
      </c>
      <c r="C85" t="s">
        <v>206</v>
      </c>
      <c r="D85" t="s">
        <v>649</v>
      </c>
      <c r="E85" t="s">
        <v>28</v>
      </c>
      <c r="F85" t="s">
        <v>25</v>
      </c>
      <c r="G85" t="s">
        <v>155</v>
      </c>
      <c r="H85" t="s">
        <v>71</v>
      </c>
      <c r="I85">
        <v>130</v>
      </c>
      <c r="J85">
        <v>125</v>
      </c>
      <c r="K85">
        <v>115</v>
      </c>
      <c r="L85">
        <v>121</v>
      </c>
      <c r="M85">
        <v>101</v>
      </c>
      <c r="N85">
        <v>118</v>
      </c>
      <c r="O85">
        <v>118</v>
      </c>
      <c r="P85">
        <v>126</v>
      </c>
      <c r="Q85">
        <v>121</v>
      </c>
      <c r="R85">
        <v>36</v>
      </c>
      <c r="S85">
        <v>491</v>
      </c>
      <c r="T85">
        <v>483</v>
      </c>
      <c r="U85">
        <v>1111</v>
      </c>
      <c r="V85">
        <v>231</v>
      </c>
      <c r="W85">
        <v>347</v>
      </c>
      <c r="X85">
        <v>115</v>
      </c>
      <c r="Y85">
        <v>239</v>
      </c>
      <c r="Z85">
        <v>244</v>
      </c>
      <c r="AA85" t="s">
        <v>651</v>
      </c>
    </row>
    <row r="86" spans="1:27" x14ac:dyDescent="0.35">
      <c r="A86" t="s">
        <v>905</v>
      </c>
      <c r="B86" t="s">
        <v>1120</v>
      </c>
      <c r="C86" t="s">
        <v>894</v>
      </c>
      <c r="D86" t="s">
        <v>649</v>
      </c>
      <c r="E86" t="s">
        <v>23</v>
      </c>
      <c r="F86" t="s">
        <v>25</v>
      </c>
      <c r="G86" t="s">
        <v>155</v>
      </c>
      <c r="H86" t="s">
        <v>71</v>
      </c>
      <c r="I86">
        <v>133</v>
      </c>
      <c r="J86">
        <v>128</v>
      </c>
      <c r="K86">
        <v>116</v>
      </c>
      <c r="L86">
        <v>122</v>
      </c>
      <c r="M86">
        <v>101</v>
      </c>
      <c r="N86">
        <v>119</v>
      </c>
      <c r="O86">
        <v>119</v>
      </c>
      <c r="P86">
        <v>129</v>
      </c>
      <c r="Q86">
        <v>122</v>
      </c>
      <c r="R86">
        <v>36</v>
      </c>
      <c r="S86">
        <v>499</v>
      </c>
      <c r="T86">
        <v>489</v>
      </c>
      <c r="U86">
        <v>1125</v>
      </c>
      <c r="V86">
        <v>234</v>
      </c>
      <c r="W86">
        <v>351</v>
      </c>
      <c r="X86">
        <v>116</v>
      </c>
      <c r="Y86">
        <v>241</v>
      </c>
      <c r="Z86">
        <v>248</v>
      </c>
      <c r="AA86" t="s">
        <v>651</v>
      </c>
    </row>
    <row r="87" spans="1:27" x14ac:dyDescent="0.35">
      <c r="A87" t="s">
        <v>1056</v>
      </c>
      <c r="B87" t="s">
        <v>1123</v>
      </c>
      <c r="C87" t="s">
        <v>1048</v>
      </c>
      <c r="D87" t="s">
        <v>649</v>
      </c>
      <c r="E87" t="s">
        <v>24</v>
      </c>
      <c r="F87" t="s">
        <v>25</v>
      </c>
      <c r="G87" t="s">
        <v>155</v>
      </c>
      <c r="H87" t="s">
        <v>71</v>
      </c>
      <c r="I87">
        <v>132</v>
      </c>
      <c r="J87">
        <v>130</v>
      </c>
      <c r="K87">
        <v>115</v>
      </c>
      <c r="L87">
        <v>123</v>
      </c>
      <c r="M87">
        <v>101</v>
      </c>
      <c r="N87">
        <v>117</v>
      </c>
      <c r="O87">
        <v>121</v>
      </c>
      <c r="P87">
        <v>128</v>
      </c>
      <c r="Q87">
        <v>123</v>
      </c>
      <c r="R87">
        <v>36</v>
      </c>
      <c r="S87">
        <v>500</v>
      </c>
      <c r="T87">
        <v>489</v>
      </c>
      <c r="U87">
        <v>1126</v>
      </c>
      <c r="V87">
        <v>233</v>
      </c>
      <c r="W87">
        <v>354</v>
      </c>
      <c r="X87">
        <v>115</v>
      </c>
      <c r="Y87">
        <v>244</v>
      </c>
      <c r="Z87">
        <v>245</v>
      </c>
      <c r="AA87" t="s">
        <v>651</v>
      </c>
    </row>
    <row r="88" spans="1:27" x14ac:dyDescent="0.35">
      <c r="A88" t="s">
        <v>653</v>
      </c>
      <c r="B88" t="s">
        <v>1134</v>
      </c>
      <c r="C88" t="s">
        <v>206</v>
      </c>
      <c r="D88" t="s">
        <v>652</v>
      </c>
      <c r="E88" t="s">
        <v>28</v>
      </c>
      <c r="F88" t="s">
        <v>25</v>
      </c>
      <c r="G88" t="s">
        <v>158</v>
      </c>
      <c r="H88" t="s">
        <v>71</v>
      </c>
      <c r="I88">
        <v>129</v>
      </c>
      <c r="J88">
        <v>126</v>
      </c>
      <c r="K88">
        <v>114</v>
      </c>
      <c r="L88">
        <v>121</v>
      </c>
      <c r="M88">
        <v>101</v>
      </c>
      <c r="N88">
        <v>118</v>
      </c>
      <c r="O88">
        <v>123</v>
      </c>
      <c r="P88">
        <v>119</v>
      </c>
      <c r="Q88">
        <v>120</v>
      </c>
      <c r="R88">
        <v>41</v>
      </c>
      <c r="S88">
        <v>490</v>
      </c>
      <c r="T88">
        <v>480</v>
      </c>
      <c r="U88">
        <v>1112</v>
      </c>
      <c r="V88">
        <v>230</v>
      </c>
      <c r="W88">
        <v>348</v>
      </c>
      <c r="X88">
        <v>114</v>
      </c>
      <c r="Y88">
        <v>243</v>
      </c>
      <c r="Z88">
        <v>237</v>
      </c>
      <c r="AA88" t="s">
        <v>654</v>
      </c>
    </row>
    <row r="89" spans="1:27" x14ac:dyDescent="0.35">
      <c r="A89" t="s">
        <v>1068</v>
      </c>
      <c r="B89" t="s">
        <v>1140</v>
      </c>
      <c r="C89" t="s">
        <v>1048</v>
      </c>
      <c r="D89" t="s">
        <v>652</v>
      </c>
      <c r="E89" t="s">
        <v>23</v>
      </c>
      <c r="F89" t="s">
        <v>25</v>
      </c>
      <c r="G89" t="s">
        <v>158</v>
      </c>
      <c r="H89" t="s">
        <v>71</v>
      </c>
      <c r="I89">
        <v>132</v>
      </c>
      <c r="J89">
        <v>129</v>
      </c>
      <c r="K89">
        <v>115</v>
      </c>
      <c r="L89">
        <v>122</v>
      </c>
      <c r="M89">
        <v>101</v>
      </c>
      <c r="N89">
        <v>119</v>
      </c>
      <c r="O89">
        <v>124</v>
      </c>
      <c r="P89">
        <v>122</v>
      </c>
      <c r="Q89">
        <v>121</v>
      </c>
      <c r="R89">
        <v>41</v>
      </c>
      <c r="S89">
        <v>498</v>
      </c>
      <c r="T89">
        <v>486</v>
      </c>
      <c r="U89">
        <v>1126</v>
      </c>
      <c r="V89">
        <v>233</v>
      </c>
      <c r="W89">
        <v>352</v>
      </c>
      <c r="X89">
        <v>115</v>
      </c>
      <c r="Y89">
        <v>245</v>
      </c>
      <c r="Z89">
        <v>241</v>
      </c>
      <c r="AA89" t="s">
        <v>654</v>
      </c>
    </row>
    <row r="90" spans="1:27" x14ac:dyDescent="0.35">
      <c r="A90" t="s">
        <v>697</v>
      </c>
      <c r="B90" t="s">
        <v>1144</v>
      </c>
      <c r="C90" t="s">
        <v>206</v>
      </c>
      <c r="D90" t="s">
        <v>686</v>
      </c>
      <c r="E90" t="s">
        <v>24</v>
      </c>
      <c r="F90" t="s">
        <v>25</v>
      </c>
      <c r="G90" t="s">
        <v>688</v>
      </c>
      <c r="H90" t="s">
        <v>71</v>
      </c>
      <c r="I90">
        <v>123</v>
      </c>
      <c r="J90">
        <v>119</v>
      </c>
      <c r="K90">
        <v>118</v>
      </c>
      <c r="L90">
        <v>123</v>
      </c>
      <c r="M90">
        <v>101</v>
      </c>
      <c r="N90">
        <v>116</v>
      </c>
      <c r="O90">
        <v>122</v>
      </c>
      <c r="P90">
        <v>123</v>
      </c>
      <c r="Q90">
        <v>118</v>
      </c>
      <c r="R90">
        <v>36</v>
      </c>
      <c r="S90">
        <v>483</v>
      </c>
      <c r="T90">
        <v>479</v>
      </c>
      <c r="U90">
        <v>1099</v>
      </c>
      <c r="V90">
        <v>224</v>
      </c>
      <c r="W90">
        <v>343</v>
      </c>
      <c r="X90">
        <v>118</v>
      </c>
      <c r="Y90">
        <v>240</v>
      </c>
      <c r="Z90">
        <v>239</v>
      </c>
      <c r="AA90" t="s">
        <v>693</v>
      </c>
    </row>
    <row r="91" spans="1:27" x14ac:dyDescent="0.35">
      <c r="A91" t="s">
        <v>947</v>
      </c>
      <c r="B91" t="s">
        <v>1151</v>
      </c>
      <c r="C91" t="s">
        <v>934</v>
      </c>
      <c r="D91" t="s">
        <v>686</v>
      </c>
      <c r="E91" t="s">
        <v>28</v>
      </c>
      <c r="F91" t="s">
        <v>25</v>
      </c>
      <c r="G91" t="s">
        <v>688</v>
      </c>
      <c r="H91" t="s">
        <v>71</v>
      </c>
      <c r="I91">
        <v>126</v>
      </c>
      <c r="J91">
        <v>122</v>
      </c>
      <c r="K91">
        <v>119</v>
      </c>
      <c r="L91">
        <v>124</v>
      </c>
      <c r="M91">
        <v>101</v>
      </c>
      <c r="N91">
        <v>117</v>
      </c>
      <c r="O91">
        <v>123</v>
      </c>
      <c r="P91">
        <v>126</v>
      </c>
      <c r="Q91">
        <v>119</v>
      </c>
      <c r="R91">
        <v>36</v>
      </c>
      <c r="S91">
        <v>491</v>
      </c>
      <c r="T91">
        <v>485</v>
      </c>
      <c r="U91">
        <v>1113</v>
      </c>
      <c r="V91">
        <v>227</v>
      </c>
      <c r="W91">
        <v>347</v>
      </c>
      <c r="X91">
        <v>119</v>
      </c>
      <c r="Y91">
        <v>242</v>
      </c>
      <c r="Z91">
        <v>243</v>
      </c>
      <c r="AA91" t="s">
        <v>693</v>
      </c>
    </row>
    <row r="92" spans="1:27" x14ac:dyDescent="0.35">
      <c r="A92" t="s">
        <v>698</v>
      </c>
      <c r="B92" t="s">
        <v>1157</v>
      </c>
      <c r="C92" t="s">
        <v>206</v>
      </c>
      <c r="D92" t="s">
        <v>691</v>
      </c>
      <c r="E92" t="s">
        <v>24</v>
      </c>
      <c r="F92" t="s">
        <v>25</v>
      </c>
      <c r="G92" t="s">
        <v>688</v>
      </c>
      <c r="H92" t="s">
        <v>71</v>
      </c>
      <c r="I92">
        <v>125</v>
      </c>
      <c r="J92">
        <v>119</v>
      </c>
      <c r="K92">
        <v>116</v>
      </c>
      <c r="L92">
        <v>119</v>
      </c>
      <c r="M92">
        <v>97</v>
      </c>
      <c r="N92">
        <v>118</v>
      </c>
      <c r="O92">
        <v>119</v>
      </c>
      <c r="P92">
        <v>121</v>
      </c>
      <c r="Q92">
        <v>119</v>
      </c>
      <c r="R92">
        <v>36</v>
      </c>
      <c r="S92">
        <v>479</v>
      </c>
      <c r="T92">
        <v>477</v>
      </c>
      <c r="U92">
        <v>1089</v>
      </c>
      <c r="V92">
        <v>222</v>
      </c>
      <c r="W92">
        <v>335</v>
      </c>
      <c r="X92">
        <v>116</v>
      </c>
      <c r="Y92">
        <v>238</v>
      </c>
      <c r="Z92">
        <v>239</v>
      </c>
      <c r="AA92" t="s">
        <v>695</v>
      </c>
    </row>
    <row r="93" spans="1:27" x14ac:dyDescent="0.35">
      <c r="A93" t="s">
        <v>882</v>
      </c>
      <c r="B93" t="s">
        <v>1163</v>
      </c>
      <c r="C93" t="s">
        <v>206</v>
      </c>
      <c r="D93" t="s">
        <v>857</v>
      </c>
      <c r="E93" t="s">
        <v>24</v>
      </c>
      <c r="F93" t="s">
        <v>25</v>
      </c>
      <c r="G93" t="s">
        <v>688</v>
      </c>
      <c r="H93" t="s">
        <v>71</v>
      </c>
      <c r="I93">
        <v>123</v>
      </c>
      <c r="J93">
        <v>118</v>
      </c>
      <c r="K93">
        <v>114</v>
      </c>
      <c r="L93">
        <v>121</v>
      </c>
      <c r="M93">
        <v>97</v>
      </c>
      <c r="N93">
        <v>117</v>
      </c>
      <c r="O93">
        <v>115</v>
      </c>
      <c r="P93">
        <v>120</v>
      </c>
      <c r="Q93">
        <v>117</v>
      </c>
      <c r="R93">
        <v>31</v>
      </c>
      <c r="S93">
        <v>476</v>
      </c>
      <c r="T93">
        <v>469</v>
      </c>
      <c r="U93">
        <v>1073</v>
      </c>
      <c r="V93">
        <v>220</v>
      </c>
      <c r="W93">
        <v>336</v>
      </c>
      <c r="X93">
        <v>114</v>
      </c>
      <c r="Y93">
        <v>232</v>
      </c>
      <c r="Z93">
        <v>237</v>
      </c>
      <c r="AA93" t="s">
        <v>869</v>
      </c>
    </row>
    <row r="94" spans="1:27" x14ac:dyDescent="0.35">
      <c r="A94" t="s">
        <v>1169</v>
      </c>
      <c r="B94" t="s">
        <v>1166</v>
      </c>
      <c r="C94" t="s">
        <v>1164</v>
      </c>
      <c r="D94" t="s">
        <v>857</v>
      </c>
      <c r="E94" t="s">
        <v>28</v>
      </c>
      <c r="F94" t="s">
        <v>25</v>
      </c>
      <c r="G94" t="s">
        <v>688</v>
      </c>
      <c r="H94" t="s">
        <v>71</v>
      </c>
      <c r="I94">
        <v>126</v>
      </c>
      <c r="J94">
        <v>121</v>
      </c>
      <c r="K94">
        <v>115</v>
      </c>
      <c r="L94">
        <v>122</v>
      </c>
      <c r="M94">
        <v>97</v>
      </c>
      <c r="N94">
        <v>118</v>
      </c>
      <c r="O94">
        <v>116</v>
      </c>
      <c r="P94">
        <v>123</v>
      </c>
      <c r="Q94">
        <v>118</v>
      </c>
      <c r="R94">
        <v>31</v>
      </c>
      <c r="S94">
        <v>484</v>
      </c>
      <c r="T94">
        <v>475</v>
      </c>
      <c r="U94">
        <v>1087</v>
      </c>
      <c r="V94">
        <v>223</v>
      </c>
      <c r="W94">
        <v>340</v>
      </c>
      <c r="X94">
        <v>115</v>
      </c>
      <c r="Y94">
        <v>234</v>
      </c>
      <c r="Z94">
        <v>241</v>
      </c>
      <c r="AA94" t="s">
        <v>869</v>
      </c>
    </row>
    <row r="95" spans="1:27" x14ac:dyDescent="0.35">
      <c r="A95" t="s">
        <v>884</v>
      </c>
      <c r="B95" t="s">
        <v>1168</v>
      </c>
      <c r="C95" t="s">
        <v>206</v>
      </c>
      <c r="D95" t="s">
        <v>859</v>
      </c>
      <c r="E95" t="s">
        <v>24</v>
      </c>
      <c r="F95" t="s">
        <v>25</v>
      </c>
      <c r="G95" t="s">
        <v>688</v>
      </c>
      <c r="H95" t="s">
        <v>71</v>
      </c>
      <c r="I95">
        <v>121</v>
      </c>
      <c r="J95">
        <v>120</v>
      </c>
      <c r="K95">
        <v>114</v>
      </c>
      <c r="L95">
        <v>121</v>
      </c>
      <c r="M95">
        <v>101</v>
      </c>
      <c r="N95">
        <v>116</v>
      </c>
      <c r="O95">
        <v>116</v>
      </c>
      <c r="P95">
        <v>118</v>
      </c>
      <c r="Q95">
        <v>115</v>
      </c>
      <c r="R95">
        <v>36</v>
      </c>
      <c r="S95">
        <v>476</v>
      </c>
      <c r="T95">
        <v>465</v>
      </c>
      <c r="U95">
        <v>1078</v>
      </c>
      <c r="V95">
        <v>222</v>
      </c>
      <c r="W95">
        <v>342</v>
      </c>
      <c r="X95">
        <v>114</v>
      </c>
      <c r="Y95">
        <v>231</v>
      </c>
      <c r="Z95">
        <v>234</v>
      </c>
      <c r="AA95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775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838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757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778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839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776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779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753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841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784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791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792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793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714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735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804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843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810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725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844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846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746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750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726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715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732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819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854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883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896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898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899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920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923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952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954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992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1040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1046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1072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1125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1127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1170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1175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763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836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837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777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788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785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798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755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800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801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802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769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718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816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729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719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745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717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747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820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849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910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912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925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928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937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938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941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1050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1053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1054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1067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1075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1172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780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781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842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723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809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845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731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736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822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881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932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990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1039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1077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1142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1182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A76" sqref="A76:XFD76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121.25471698113208</v>
      </c>
      <c r="C2">
        <f>AVERAGE(Q_Stat[サーブ])</f>
        <v>118.85377358490567</v>
      </c>
      <c r="D2">
        <f>AVERAGE(Q_Stat[セッティング])</f>
        <v>116.96698113207547</v>
      </c>
      <c r="E2">
        <f>AVERAGE(Q_Stat[頭脳])</f>
        <v>121.53301886792453</v>
      </c>
      <c r="F2">
        <f>AVERAGE(Q_Stat[幸運])</f>
        <v>99.094339622641513</v>
      </c>
      <c r="G2">
        <f>AVERAGE(Q_Stat[ブロック])</f>
        <v>118.51415094339623</v>
      </c>
      <c r="H2">
        <f>AVERAGE(Q_Stat[レシーブ])</f>
        <v>117.94339622641509</v>
      </c>
      <c r="I2">
        <f>AVERAGE(Q_Stat[バネ])</f>
        <v>118.05188679245283</v>
      </c>
      <c r="J2">
        <f>AVERAGE(Q_Stat[スピード])</f>
        <v>118.11320754716981</v>
      </c>
      <c r="K2">
        <f>AVERAGE(Q_Stat[メンタル])</f>
        <v>34.948113207547166</v>
      </c>
      <c r="L2">
        <f>AVERAGE(Q_Stat[TotalStat])</f>
        <v>1085.2735849056603</v>
      </c>
      <c r="M2">
        <f>AVERAGE(Q_Stat[AttackVal])</f>
        <v>220.34905660377359</v>
      </c>
      <c r="N2">
        <f>AVERAGE(Q_Stat[ServeVal])</f>
        <v>339.48113207547169</v>
      </c>
      <c r="O2">
        <f>AVERAGE(Q_Stat[TossVal])</f>
        <v>116.96698113207547</v>
      </c>
      <c r="P2">
        <f>AVERAGE(Q_Stat[ReceiveVal])</f>
        <v>236.0566037735849</v>
      </c>
      <c r="Q2">
        <f>AVERAGE(Q_Stat[BlockVal])</f>
        <v>236.56603773584905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118.5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117.5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30.793609825560704</v>
      </c>
      <c r="C9">
        <f>_xlfn.VAR.P(Q_Stat[サーブ])</f>
        <v>30.568240477038096</v>
      </c>
      <c r="D9">
        <f>_xlfn.VAR.P(Q_Stat[セッティング])</f>
        <v>36.843249377002465</v>
      </c>
      <c r="E9">
        <f>_xlfn.VAR.P(Q_Stat[頭脳])</f>
        <v>14.928155037379838</v>
      </c>
      <c r="F9">
        <f>_xlfn.VAR.P(Q_Stat[幸運])</f>
        <v>3.9156283374866501</v>
      </c>
      <c r="G9">
        <f>_xlfn.VAR.P(Q_Stat[ブロック])</f>
        <v>29.815837486650064</v>
      </c>
      <c r="H9">
        <f>_xlfn.VAR.P(Q_Stat[レシーブ])</f>
        <v>17.817550729797077</v>
      </c>
      <c r="I9">
        <f>_xlfn.VAR.P(Q_Stat[バネ])</f>
        <v>11.624666251334995</v>
      </c>
      <c r="J9">
        <f>_xlfn.VAR.P(Q_Stat[スピード])</f>
        <v>10.336240655037379</v>
      </c>
      <c r="K9">
        <f>_xlfn.VAR.P(Q_Stat[メンタル])</f>
        <v>30.67183606265575</v>
      </c>
      <c r="L9">
        <f>_xlfn.VAR.P(Q_Stat[TotalStat])</f>
        <v>418.81194375222515</v>
      </c>
      <c r="M9">
        <f>_xlfn.VAR.P(Q_Stat[AttackVal])</f>
        <v>39.019668921324296</v>
      </c>
      <c r="N9">
        <f>_xlfn.VAR.P(Q_Stat[ServeVal])</f>
        <v>80.438323246706972</v>
      </c>
      <c r="O9">
        <f>_xlfn.VAR.P(Q_Stat[TossVal])</f>
        <v>36.843249377002465</v>
      </c>
      <c r="P9">
        <f>_xlfn.VAR.P(Q_Stat[ReceiveVal])</f>
        <v>42.713777144891374</v>
      </c>
      <c r="Q9">
        <f>_xlfn.VAR.P(Q_Stat[BlockVal])</f>
        <v>48.255072979708018</v>
      </c>
    </row>
    <row r="10" spans="1:17" x14ac:dyDescent="0.35">
      <c r="A10" s="1" t="s">
        <v>975</v>
      </c>
      <c r="B10">
        <f>_xlfn.STDEV.P(Q_Stat[スパイク])</f>
        <v>5.549199025585648</v>
      </c>
      <c r="C10">
        <f>_xlfn.STDEV.P(Q_Stat[サーブ])</f>
        <v>5.5288552591868507</v>
      </c>
      <c r="D10">
        <f>_xlfn.STDEV.P(Q_Stat[セッティング])</f>
        <v>6.0698640328266382</v>
      </c>
      <c r="E10">
        <f>_xlfn.STDEV.P(Q_Stat[頭脳])</f>
        <v>3.8636970685316205</v>
      </c>
      <c r="F10">
        <f>_xlfn.STDEV.P(Q_Stat[幸運])</f>
        <v>1.9787946678436978</v>
      </c>
      <c r="G10">
        <f>_xlfn.STDEV.P(Q_Stat[ブロック])</f>
        <v>5.4603880344395002</v>
      </c>
      <c r="H10">
        <f>_xlfn.STDEV.P(Q_Stat[レシーブ])</f>
        <v>4.221084070448855</v>
      </c>
      <c r="I10">
        <f>_xlfn.STDEV.P(Q_Stat[バネ])</f>
        <v>3.4094964806163088</v>
      </c>
      <c r="J10">
        <f>_xlfn.STDEV.P(Q_Stat[スピード])</f>
        <v>3.2150024346860735</v>
      </c>
      <c r="K10">
        <f>_xlfn.STDEV.P(Q_Stat[メンタル])</f>
        <v>5.5382159638872652</v>
      </c>
      <c r="L10">
        <f>_xlfn.STDEV.P(Q_Stat[TotalStat])</f>
        <v>20.464895400471146</v>
      </c>
      <c r="M10">
        <f>_xlfn.STDEV.P(Q_Stat[AttackVal])</f>
        <v>6.2465725739259845</v>
      </c>
      <c r="N10">
        <f>_xlfn.STDEV.P(Q_Stat[ServeVal])</f>
        <v>8.968741452774017</v>
      </c>
      <c r="O10">
        <f>_xlfn.STDEV.P(Q_Stat[TossVal])</f>
        <v>6.0698640328266382</v>
      </c>
      <c r="P10">
        <f>_xlfn.STDEV.P(Q_Stat[ReceiveVal])</f>
        <v>6.5355777973252964</v>
      </c>
      <c r="Q10">
        <f>_xlfn.STDEV.P(Q_Stat[BlockVal])</f>
        <v>6.9465871461969018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</v>
      </c>
      <c r="C19">
        <f>AVERAGE(Q_WS[サーブ])</f>
        <v>120.6063829787234</v>
      </c>
      <c r="D19">
        <f>AVERAGE(Q_WS[セッティング])</f>
        <v>114.53191489361703</v>
      </c>
      <c r="E19">
        <f>AVERAGE(Q_WS[頭脳])</f>
        <v>120.3936170212766</v>
      </c>
      <c r="F19">
        <f>AVERAGE(Q_WS[幸運])</f>
        <v>99.085106382978722</v>
      </c>
      <c r="G19">
        <f>AVERAGE(Q_WS[ブロック])</f>
        <v>117.54255319148936</v>
      </c>
      <c r="H19">
        <f>AVERAGE(Q_WS[レシーブ])</f>
        <v>117.72340425531915</v>
      </c>
      <c r="I19">
        <f>AVERAGE(Q_WS[バネ])</f>
        <v>119</v>
      </c>
      <c r="J19">
        <f>AVERAGE(Q_WS[スピード])</f>
        <v>118.14893617021276</v>
      </c>
      <c r="K19">
        <f>AVERAGE(Q_WS[メンタル])</f>
        <v>35.042553191489361</v>
      </c>
      <c r="L19">
        <f>AVERAGE(Q_WS[TotalStat])</f>
        <v>1086.0744680851064</v>
      </c>
      <c r="M19">
        <f>AVERAGE(Q_WS[AttackVal])</f>
        <v>223.08510638297872</v>
      </c>
      <c r="N19">
        <f>AVERAGE(Q_WS[ServeVal])</f>
        <v>340.08510638297872</v>
      </c>
      <c r="O19">
        <f>AVERAGE(Q_WS[TossVal])</f>
        <v>114.53191489361703</v>
      </c>
      <c r="P19">
        <f>AVERAGE(Q_WS[ReceiveVal])</f>
        <v>235.87234042553192</v>
      </c>
      <c r="Q19">
        <f>AVERAGE(Q_WS[BlockVal])</f>
        <v>236.54255319148936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120.25</v>
      </c>
      <c r="C22">
        <f>_xlfn.QUARTILE.INC(Q_WS[サーブ],1)</f>
        <v>117</v>
      </c>
      <c r="D22">
        <f>_xlfn.QUARTILE.INC(Q_WS[セッティング],1)</f>
        <v>113.25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115.25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113.25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100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1078.5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</v>
      </c>
      <c r="C24">
        <f>_xlfn.QUARTILE.INC(Q_WS[サーブ],3)</f>
        <v>123</v>
      </c>
      <c r="D24">
        <f>_xlfn.QUARTILE.INC(Q_WS[セッティング],3)</f>
        <v>115</v>
      </c>
      <c r="E24">
        <f>_xlfn.QUARTILE.INC(Q_WS[頭脳],3)</f>
        <v>122.75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119.75</v>
      </c>
      <c r="I24">
        <f>_xlfn.QUARTILE.INC(Q_WS[バネ],3)</f>
        <v>121</v>
      </c>
      <c r="J24">
        <f>_xlfn.QUARTILE.INC(Q_WS[スピード],3)</f>
        <v>120.75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227.75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23.787234042553191</v>
      </c>
      <c r="C26">
        <f>_xlfn.VAR.P(Q_WS[サーブ])</f>
        <v>20.345065640561348</v>
      </c>
      <c r="D26">
        <f>_xlfn.VAR.P(Q_WS[セッティング])</f>
        <v>3.8872793119058326</v>
      </c>
      <c r="E26">
        <f>_xlfn.VAR.P(Q_WS[頭脳])</f>
        <v>9.0684698958804795</v>
      </c>
      <c r="F26">
        <f>_xlfn.VAR.P(Q_WS[幸運])</f>
        <v>3.8225441376188369</v>
      </c>
      <c r="G26">
        <f>_xlfn.VAR.P(Q_WS[ブロック])</f>
        <v>10.67372114078769</v>
      </c>
      <c r="H26">
        <f>_xlfn.VAR.P(Q_WS[レシーブ])</f>
        <v>11.455409687641465</v>
      </c>
      <c r="I26">
        <f>_xlfn.VAR.P(Q_WS[バネ])</f>
        <v>11.659574468085106</v>
      </c>
      <c r="J26">
        <f>_xlfn.VAR.P(Q_WS[スピード])</f>
        <v>6.8288818469895878</v>
      </c>
      <c r="K26">
        <f>_xlfn.VAR.P(Q_WS[メンタル])</f>
        <v>37.913082842915344</v>
      </c>
      <c r="L26">
        <f>_xlfn.VAR.P(Q_WS[TotalStat])</f>
        <v>438.66466727025806</v>
      </c>
      <c r="M26">
        <f>_xlfn.VAR.P(Q_WS[AttackVal])</f>
        <v>34.290629244001799</v>
      </c>
      <c r="N26">
        <f>_xlfn.VAR.P(Q_WS[ServeVal])</f>
        <v>56.694884563150694</v>
      </c>
      <c r="O26">
        <f>_xlfn.VAR.P(Q_WS[TossVal])</f>
        <v>3.8872793119058326</v>
      </c>
      <c r="P26">
        <f>_xlfn.VAR.P(Q_WS[ReceiveVal])</f>
        <v>27.387958352195572</v>
      </c>
      <c r="Q26">
        <f>_xlfn.VAR.P(Q_WS[BlockVal])</f>
        <v>29.056699864191945</v>
      </c>
    </row>
    <row r="27" spans="1:17" x14ac:dyDescent="0.35">
      <c r="A27" t="s">
        <v>1092</v>
      </c>
      <c r="B27">
        <f>_xlfn.STDEV.P(Q_WS[スパイク])</f>
        <v>4.8772158084867634</v>
      </c>
      <c r="C27">
        <f>_xlfn.STDEV.P(Q_WS[サーブ])</f>
        <v>4.5105504808793961</v>
      </c>
      <c r="D27">
        <f>_xlfn.STDEV.P(Q_WS[セッティング])</f>
        <v>1.9716184498796496</v>
      </c>
      <c r="E27">
        <f>_xlfn.STDEV.P(Q_WS[頭脳])</f>
        <v>3.0113900271935017</v>
      </c>
      <c r="F27">
        <f>_xlfn.STDEV.P(Q_WS[幸運])</f>
        <v>1.9551327672613021</v>
      </c>
      <c r="G27">
        <f>_xlfn.STDEV.P(Q_WS[ブロック])</f>
        <v>3.267066136579988</v>
      </c>
      <c r="H27">
        <f>_xlfn.STDEV.P(Q_WS[レシーブ])</f>
        <v>3.3845841232921758</v>
      </c>
      <c r="I27">
        <f>_xlfn.STDEV.P(Q_WS[バネ])</f>
        <v>3.4146119059250504</v>
      </c>
      <c r="J27">
        <f>_xlfn.STDEV.P(Q_WS[スピード])</f>
        <v>2.6132129356387299</v>
      </c>
      <c r="K27">
        <f>_xlfn.STDEV.P(Q_WS[メンタル])</f>
        <v>6.1573600546756513</v>
      </c>
      <c r="L27">
        <f>_xlfn.STDEV.P(Q_WS[TotalStat])</f>
        <v>20.944323032035626</v>
      </c>
      <c r="M27">
        <f>_xlfn.STDEV.P(Q_WS[AttackVal])</f>
        <v>5.8558201171144084</v>
      </c>
      <c r="N27">
        <f>_xlfn.STDEV.P(Q_WS[ServeVal])</f>
        <v>7.529600558007755</v>
      </c>
      <c r="O27">
        <f>_xlfn.STDEV.P(Q_WS[TossVal])</f>
        <v>1.9716184498796496</v>
      </c>
      <c r="P27">
        <f>_xlfn.STDEV.P(Q_WS[ReceiveVal])</f>
        <v>5.2333505856378064</v>
      </c>
      <c r="Q27">
        <f>_xlfn.STDEV.P(Q_WS[BlockVal])</f>
        <v>5.3904266866540302</v>
      </c>
    </row>
    <row r="28" spans="1:17" x14ac:dyDescent="0.35">
      <c r="A28" t="s">
        <v>1093</v>
      </c>
      <c r="B28">
        <f t="shared" ref="B28:Q28" si="8">B24-B22</f>
        <v>6.75</v>
      </c>
      <c r="C28">
        <f t="shared" si="8"/>
        <v>6</v>
      </c>
      <c r="D28">
        <f t="shared" si="8"/>
        <v>1.75</v>
      </c>
      <c r="E28">
        <f t="shared" si="8"/>
        <v>3.75</v>
      </c>
      <c r="F28">
        <f t="shared" si="8"/>
        <v>4</v>
      </c>
      <c r="G28">
        <f t="shared" si="8"/>
        <v>2</v>
      </c>
      <c r="H28">
        <f t="shared" si="8"/>
        <v>4.5</v>
      </c>
      <c r="I28">
        <f t="shared" si="8"/>
        <v>5</v>
      </c>
      <c r="J28">
        <f t="shared" si="8"/>
        <v>4.75</v>
      </c>
      <c r="K28">
        <f t="shared" si="8"/>
        <v>10</v>
      </c>
      <c r="L28">
        <f t="shared" si="8"/>
        <v>32</v>
      </c>
      <c r="M28">
        <f t="shared" si="8"/>
        <v>9.75</v>
      </c>
      <c r="N28">
        <f t="shared" si="8"/>
        <v>12</v>
      </c>
      <c r="O28">
        <f t="shared" si="8"/>
        <v>1.75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5.0037824874564052</v>
      </c>
      <c r="C30">
        <f t="shared" si="11"/>
        <v>4.4478066555168043</v>
      </c>
      <c r="D30">
        <f t="shared" si="11"/>
        <v>1.2972769411924012</v>
      </c>
      <c r="E30">
        <f t="shared" si="11"/>
        <v>2.7798791596980026</v>
      </c>
      <c r="F30">
        <f t="shared" si="11"/>
        <v>2.9652044370112027</v>
      </c>
      <c r="G30">
        <f t="shared" si="11"/>
        <v>1.4826022185056014</v>
      </c>
      <c r="H30">
        <f t="shared" si="11"/>
        <v>3.3358549916376035</v>
      </c>
      <c r="I30">
        <f t="shared" si="11"/>
        <v>3.7065055462640037</v>
      </c>
      <c r="J30">
        <f t="shared" si="11"/>
        <v>3.5211802689508036</v>
      </c>
      <c r="K30">
        <f t="shared" si="11"/>
        <v>7.4130110925280075</v>
      </c>
      <c r="L30">
        <f t="shared" si="11"/>
        <v>23.721635496089622</v>
      </c>
      <c r="M30">
        <f t="shared" si="11"/>
        <v>7.2276858152148069</v>
      </c>
      <c r="N30">
        <f t="shared" si="11"/>
        <v>8.8956133110336086</v>
      </c>
      <c r="O30">
        <f t="shared" si="11"/>
        <v>1.2972769411924012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3.375</v>
      </c>
      <c r="C31">
        <f t="shared" ref="C31:Q31" si="12">C28/2</f>
        <v>3</v>
      </c>
      <c r="D31">
        <f t="shared" si="12"/>
        <v>0.875</v>
      </c>
      <c r="E31">
        <f t="shared" si="12"/>
        <v>1.875</v>
      </c>
      <c r="F31">
        <f t="shared" si="12"/>
        <v>2</v>
      </c>
      <c r="G31">
        <f t="shared" si="12"/>
        <v>1</v>
      </c>
      <c r="H31">
        <f t="shared" si="12"/>
        <v>2.25</v>
      </c>
      <c r="I31">
        <f t="shared" si="12"/>
        <v>2.5</v>
      </c>
      <c r="J31">
        <f t="shared" si="12"/>
        <v>2.375</v>
      </c>
      <c r="K31">
        <f t="shared" si="12"/>
        <v>5</v>
      </c>
      <c r="L31">
        <f t="shared" si="12"/>
        <v>16</v>
      </c>
      <c r="M31">
        <f t="shared" si="12"/>
        <v>4.875</v>
      </c>
      <c r="N31">
        <f t="shared" si="12"/>
        <v>6</v>
      </c>
      <c r="O31">
        <f t="shared" si="12"/>
        <v>0.875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5.0044483985765122</v>
      </c>
      <c r="C32">
        <f t="shared" ref="C32:J32" si="13">C31/0.6744</f>
        <v>4.4483985765124556</v>
      </c>
      <c r="D32">
        <f t="shared" si="13"/>
        <v>1.2974495848161329</v>
      </c>
      <c r="E32">
        <f t="shared" si="13"/>
        <v>2.7802491103202849</v>
      </c>
      <c r="F32">
        <f t="shared" si="13"/>
        <v>2.9655990510083039</v>
      </c>
      <c r="G32">
        <f t="shared" si="13"/>
        <v>1.4827995255041519</v>
      </c>
      <c r="H32">
        <f t="shared" si="13"/>
        <v>3.3362989323843415</v>
      </c>
      <c r="I32">
        <f t="shared" si="13"/>
        <v>3.7069988137603795</v>
      </c>
      <c r="J32">
        <f t="shared" si="13"/>
        <v>3.5216488730723605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7.2286476868327405</v>
      </c>
      <c r="N32">
        <f t="shared" si="14"/>
        <v>8.8967971530249113</v>
      </c>
      <c r="O32">
        <f t="shared" si="14"/>
        <v>1.2974495848161329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ユニフォーム東峰旭ICONIC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プール掃除東峰旭ICONIC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サバゲ東峰旭ICONIC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ユニフォーム東峰旭YELL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探偵縁下力ICONIC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ユニフォーム木下久志ICONIC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ユニフォーム成田一仁ICONIC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制服孤爪研磨ICONIC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夏祭り孤爪研磨ICONIC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1周年孤爪研磨ICONIC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探偵灰羽リエーフICONIC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路地裏灰羽リエーフICONIC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1周年夜久衛輔ICONIC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バーガー福永招平ICONIC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ユニフォーム犬岡走ICONIC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新年犬岡走ICONIC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新年山本猛虎ICONIC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ユニフォーム芝山優生ICONIC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ユニフォーム海信之YELL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制服青根高伸ICONIC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プール掃除青根高伸ICONIC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制服二口堅治ICONIC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プール掃除二口堅治ICONIC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路地裏二口堅治ICONIC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職業体験黄金川貫至ICONIC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ユニフォーム小原豊ICONIC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ユニフォーム女川太郎ICONIC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ユニフォーム作並浩輔ICONIC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ユニフォーム吹上仁悟ICONIC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ユニフォーム茂庭要ICONIC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ユニフォーム鎌先靖志ICONIC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ユニフォーム笹谷武仁ICONIC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プール掃除及川徹ICONIC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Xmas及川徹ICONIC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制服及川徹ICONIC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路地裏及川徹ICONIC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プール掃除岩泉一ICONIC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制服岩泉一ICONIC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サバゲ岩泉一ICONIC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雪遊び金田一勇太郎ICONIC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ユニフォーム京谷賢太郎ICONIC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職業体験国見英ICONIC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路地裏国見英ICONIC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ユニフォーム渡親治ICONIC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アート松川一静ICONIC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アート花巻貴大ICONIC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バーガー花巻貴大ICONIC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ユニフォーム矢巾秀ICONIC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ユニフォーム駒木輝ICONIC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ユニフォーム茶屋和馬ICONIC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ユニフォーム玉川弘樹ICONIC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ユニフォーム桜井大河ICONIC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ユニフォーム芳賀良治ICONIC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ユニフォーム渋谷陸斗ICONIC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ユニフォーム池尻隼人ICONIC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ユニフォーム十和田良樹ICONIC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ユニフォーム森岳歩ICONIC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ユニフォーム唐松拓巳ICONIC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ユニフォーム田沢裕樹ICONIC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ユニフォーム子安颯真ICONIC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ユニフォーム横手駿ICONIC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ユニフォーム夏瀬伊吹ICONIC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ユニフォーム秋宮昇ICONIC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ユニフォーム古牧譲ICONIC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雪遊び古牧譲ICONIC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ユニフォーム浅虫快人ICONIC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ユニフォーム南田大志ICONIC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ユニフォーム湯川良明ICONIC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ユニフォーム稲垣功ICONIC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ユニフォーム馬門英治ICONIC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ユニフォーム百沢雄大ICONIC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職業体験百沢雄大ICONIC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制服照島游児ICONIC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雪遊び照島游児ICONIC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ユニフォーム母畑和馬ICONIC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ユニフォーム二岐丈晴ICONIC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制服二岐丈晴ICONIC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ユニフォーム沼尻凛太郎ICONIC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ユニフォーム飯坂信義ICONIC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ユニフォーム東山勝道ICONIC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ユニフォーム土湯新ICONIC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ユニフォーム中島猛ICONIC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ユニフォーム白石優希ICONIC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ユニフォーム花山一雅ICONIC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ユニフォーム鳴子哲平ICONIC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ユニフォーム秋保和光ICONIC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ユニフォーム松島剛ICONIC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ユニフォーム川渡瞬己ICONIC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水着牛島若利ICONIC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新年牛島若利ICONIC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水着天童覚ICONIC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文化祭天童覚ICONIC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ユニフォーム五色工ICONIC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職業体験五色工ICONIC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ユニフォーム白布賢二郎ICONIC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探偵白布賢二郎ICONIC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ユニフォーム大平獅音ICONIC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ユニフォーム川西太一ICONIC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路地裏川西太一ICONIC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ユニフォーム瀬見英太ICONIC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雪遊び瀬見英太ICONIC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ユニフォーム山形隼人ICONIC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文化祭宮侑ICONIC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RPG宮侑ICONIC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ユニフォーム宮治ICONIC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RPG宮治ICONIC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ユニフォーム角名倫太郎ICONIC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サバゲ角名倫太郎ICONIC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ユニフォーム北信介ICONIC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Xmas北信介ICONIC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ユニフォーム尾白アランICONIC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雪遊び尾白アランICONIC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ユニフォーム赤木路成ICONIC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ユニフォーム大耳練ICONIC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ユニフォーム理石平介ICONIC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ユニフォーム銀島結ICONIC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夏祭り木兎光太郎ICONIC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Xmas木兎光太郎ICONIC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制服木兎光太郎ICONIC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ユニフォーム木葉秋紀ICONIC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探偵木葉秋紀ICONIC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ユニフォーム猿杙大和ICONIC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ユニフォーム小見春樹ICONIC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ユニフォーム尾長渉ICONIC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ユニフォーム鷲尾辰生ICONIC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ユニフォーム赤葦京治ICONIC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夏祭り赤葦京治ICONIC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制服赤葦京治ICONIC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バーガー赤葦京治ICONIC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ユニフォーム姫川葵ICONIC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ユニフォーム当間義友ICONIC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ユニフォーム越後栄ICONIC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ユニフォーム貝掛亮文ICONIC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ユニフォーム丸山一喜ICONIC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ユニフォーム舞子侑志ICONIC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ユニフォーム寺泊基希ICONIC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ユニフォーム星海光来ICONIC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文化祭星海光来ICONIC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サバゲ星海光来ICONIC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ユニフォーム昼神幸郎ICONIC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Xmas昼神幸郎ICONIC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ユニフォーム佐久早聖臣ICONIC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サバゲ佐久早聖臣ICONIC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ユニフォーム小森元也ICONIC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ユニフォーム大将優ICONIC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新年大将優ICONIC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ユニフォーム沼井和馬ICONIC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ユニフォーム潜尚保ICONIC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バーガー潜尚保ICONIC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ユニフォーム高千穂恵也ICONIC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ユニフォーム広尾倖児ICONIC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ユニフォーム先島伊澄ICONIC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ユニフォーム背黒晃彦ICONIC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ユニフォーム赤間颯ICONIC</v>
      </c>
      <c r="C213">
        <f>SetNo[[#This Row],[No.]]</f>
        <v>212</v>
      </c>
    </row>
    <row r="214" spans="1:3" x14ac:dyDescent="0.35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4"/>
  <sheetViews>
    <sheetView topLeftCell="A183" zoomScaleNormal="100" workbookViewId="0">
      <selection activeCell="A199" sqref="A199:XFD199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ユニフォーム東峰旭ICONIC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225</v>
      </c>
      <c r="M41">
        <v>39</v>
      </c>
      <c r="N41">
        <v>0</v>
      </c>
      <c r="O41">
        <v>49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1049</v>
      </c>
      <c r="D42" s="1" t="s">
        <v>145</v>
      </c>
      <c r="E42" s="1" t="s">
        <v>90</v>
      </c>
      <c r="F42" s="1" t="s">
        <v>78</v>
      </c>
      <c r="G42" s="1" t="s">
        <v>136</v>
      </c>
      <c r="H42" s="1" t="s">
        <v>71</v>
      </c>
      <c r="I42">
        <v>1</v>
      </c>
      <c r="J42" t="s">
        <v>205</v>
      </c>
      <c r="K42" s="1" t="s">
        <v>184</v>
      </c>
      <c r="L42" s="1" t="s">
        <v>178</v>
      </c>
      <c r="M42">
        <v>26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サバゲ東峰旭ICONIC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219</v>
      </c>
      <c r="I43">
        <v>1</v>
      </c>
      <c r="J43" t="s">
        <v>205</v>
      </c>
      <c r="K43" t="s">
        <v>184</v>
      </c>
      <c r="L43" t="s">
        <v>173</v>
      </c>
      <c r="M43">
        <v>32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ユニフォーム東峰旭YELL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386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s="1" t="s">
        <v>205</v>
      </c>
      <c r="K45" s="1" t="s">
        <v>223</v>
      </c>
      <c r="L45" s="1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探偵縁下力ICONIC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178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2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s="1" t="s">
        <v>205</v>
      </c>
      <c r="K47" s="1" t="s">
        <v>223</v>
      </c>
      <c r="L47" s="1" t="s">
        <v>162</v>
      </c>
      <c r="M47">
        <v>42</v>
      </c>
      <c r="N47">
        <v>0</v>
      </c>
      <c r="O47">
        <v>52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173</v>
      </c>
      <c r="M48">
        <v>28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225</v>
      </c>
      <c r="M49">
        <v>35</v>
      </c>
      <c r="N49">
        <v>5</v>
      </c>
      <c r="O49">
        <v>45</v>
      </c>
      <c r="P49">
        <v>7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222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205</v>
      </c>
      <c r="K50" t="s">
        <v>223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ユニフォーム成田一仁ICONIC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108</v>
      </c>
      <c r="D51" t="s">
        <v>39</v>
      </c>
      <c r="E51" t="s">
        <v>24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149</v>
      </c>
      <c r="D52" t="s">
        <v>39</v>
      </c>
      <c r="E52" t="s">
        <v>90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150</v>
      </c>
      <c r="D53" t="s">
        <v>39</v>
      </c>
      <c r="E53" t="s">
        <v>77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173</v>
      </c>
      <c r="M53">
        <v>29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夏祭り孤爪研磨ICONIC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1001</v>
      </c>
      <c r="D54" s="1" t="s">
        <v>39</v>
      </c>
      <c r="E54" s="1" t="s">
        <v>73</v>
      </c>
      <c r="F54" s="1" t="s">
        <v>31</v>
      </c>
      <c r="G54" s="1" t="s">
        <v>27</v>
      </c>
      <c r="H54" s="1" t="s">
        <v>71</v>
      </c>
      <c r="I54">
        <v>1</v>
      </c>
      <c r="J54" t="s">
        <v>205</v>
      </c>
      <c r="K54" t="s">
        <v>226</v>
      </c>
      <c r="L54" s="1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1周年孤爪研磨ICONIC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225</v>
      </c>
      <c r="M58">
        <v>44</v>
      </c>
      <c r="N58">
        <v>0</v>
      </c>
      <c r="O58">
        <v>54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1001</v>
      </c>
      <c r="D59" s="1" t="s">
        <v>40</v>
      </c>
      <c r="E59" s="1" t="s">
        <v>77</v>
      </c>
      <c r="F59" s="1" t="s">
        <v>26</v>
      </c>
      <c r="G59" s="1" t="s">
        <v>27</v>
      </c>
      <c r="H59" s="1" t="s">
        <v>71</v>
      </c>
      <c r="I59">
        <v>1</v>
      </c>
      <c r="J59" t="s">
        <v>205</v>
      </c>
      <c r="K59" t="s">
        <v>184</v>
      </c>
      <c r="L59" s="1" t="s">
        <v>162</v>
      </c>
      <c r="M59">
        <v>27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41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386</v>
      </c>
      <c r="D61" t="s">
        <v>41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探偵灰羽リエーフICONIC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1122</v>
      </c>
      <c r="D62" s="1" t="s">
        <v>41</v>
      </c>
      <c r="E62" s="1" t="s">
        <v>77</v>
      </c>
      <c r="F62" s="1" t="s">
        <v>26</v>
      </c>
      <c r="G62" s="1" t="s">
        <v>27</v>
      </c>
      <c r="H62" s="1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路地裏灰羽リエーフICONIC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42</v>
      </c>
      <c r="E63" t="s">
        <v>24</v>
      </c>
      <c r="F63" t="s">
        <v>21</v>
      </c>
      <c r="G63" t="s">
        <v>27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s="1" t="s">
        <v>1001</v>
      </c>
      <c r="D64" s="1" t="s">
        <v>42</v>
      </c>
      <c r="E64" s="1" t="s">
        <v>77</v>
      </c>
      <c r="F64" s="1" t="s">
        <v>21</v>
      </c>
      <c r="G64" s="1" t="s">
        <v>27</v>
      </c>
      <c r="H64" s="1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1165</v>
      </c>
      <c r="D66" s="1" t="s">
        <v>43</v>
      </c>
      <c r="E66" s="1" t="s">
        <v>77</v>
      </c>
      <c r="F66" s="1" t="s">
        <v>25</v>
      </c>
      <c r="G66" s="1" t="s">
        <v>27</v>
      </c>
      <c r="H66" s="1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バーガー福永招平ICONIC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44</v>
      </c>
      <c r="E68" s="1" t="s">
        <v>77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s="1" t="s">
        <v>935</v>
      </c>
      <c r="D70" t="s">
        <v>45</v>
      </c>
      <c r="E70" s="1" t="s">
        <v>77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新年山本猛虎ICONIC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ユニフォーム芝山優生ICONIC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ユニフォーム海信之YELL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プール掃除二口堅治ICONIC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s="1" t="s">
        <v>1122</v>
      </c>
      <c r="D80" s="1" t="s">
        <v>50</v>
      </c>
      <c r="E80" s="1" t="s">
        <v>90</v>
      </c>
      <c r="F80" s="1" t="s">
        <v>25</v>
      </c>
      <c r="G80" s="1" t="s">
        <v>49</v>
      </c>
      <c r="H80" s="1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路地裏二口堅治ICONIC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149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s="1" t="s">
        <v>702</v>
      </c>
      <c r="D83" t="s">
        <v>384</v>
      </c>
      <c r="E83" s="1" t="s">
        <v>90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職業体験黄金川貫至ICONIC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51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387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ユニフォーム小原豊ICONIC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52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226</v>
      </c>
      <c r="L85" s="1" t="s">
        <v>173</v>
      </c>
      <c r="M85">
        <v>29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ユニフォーム女川太郎ICONIC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53</v>
      </c>
      <c r="E86" t="s">
        <v>23</v>
      </c>
      <c r="F86" t="s">
        <v>21</v>
      </c>
      <c r="G86" t="s">
        <v>49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ユニフォーム作並浩輔ICONIC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54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ユニフォーム吹上仁悟ICONIC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1022</v>
      </c>
      <c r="E88" s="1" t="s">
        <v>23</v>
      </c>
      <c r="F88" s="1" t="s">
        <v>74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178</v>
      </c>
      <c r="M88">
        <v>31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ユニフォーム茂庭要ICONIC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1024</v>
      </c>
      <c r="E89" s="1" t="s">
        <v>23</v>
      </c>
      <c r="F89" s="1" t="s">
        <v>82</v>
      </c>
      <c r="G89" s="1" t="s">
        <v>49</v>
      </c>
      <c r="H89" s="1" t="s">
        <v>71</v>
      </c>
      <c r="I89">
        <v>1</v>
      </c>
      <c r="J89" t="s">
        <v>205</v>
      </c>
      <c r="K89" s="1" t="s">
        <v>184</v>
      </c>
      <c r="L89" s="1" t="s">
        <v>178</v>
      </c>
      <c r="M89">
        <v>32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ユニフォーム鎌先靖志ICONIC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1026</v>
      </c>
      <c r="E90" s="1" t="s">
        <v>23</v>
      </c>
      <c r="F90" s="1" t="s">
        <v>78</v>
      </c>
      <c r="G90" s="1" t="s">
        <v>49</v>
      </c>
      <c r="H90" s="1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ユニフォーム笹谷武仁ICONIC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2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225</v>
      </c>
      <c r="M92">
        <v>51</v>
      </c>
      <c r="N92">
        <v>0</v>
      </c>
      <c r="O92">
        <v>61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915</v>
      </c>
      <c r="D94" t="s">
        <v>30</v>
      </c>
      <c r="E94" s="1" t="s">
        <v>77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Xmas及川徹ICONIC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149</v>
      </c>
      <c r="D95" t="s">
        <v>30</v>
      </c>
      <c r="E95" s="1" t="s">
        <v>73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制服及川徹ICONIC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2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52</v>
      </c>
      <c r="N97">
        <v>0</v>
      </c>
      <c r="O97">
        <v>62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206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2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47</v>
      </c>
      <c r="N101">
        <v>0</v>
      </c>
      <c r="O101">
        <v>57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1049</v>
      </c>
      <c r="D102" s="1" t="s">
        <v>32</v>
      </c>
      <c r="E102" s="1" t="s">
        <v>77</v>
      </c>
      <c r="F102" s="1" t="s">
        <v>25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サバゲ岩泉一ICONIC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959</v>
      </c>
      <c r="D104" t="s">
        <v>33</v>
      </c>
      <c r="E104" s="1" t="s">
        <v>77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雪遊び金田一勇太郎ICONIC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162</v>
      </c>
      <c r="M105">
        <v>36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ユニフォーム京谷賢太郎ICONIC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35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702</v>
      </c>
      <c r="D107" t="s">
        <v>35</v>
      </c>
      <c r="E107" s="1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職業体験国見英ICONIC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1122</v>
      </c>
      <c r="D108" s="1" t="s">
        <v>35</v>
      </c>
      <c r="E108" s="1" t="s">
        <v>77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路地裏国見英ICONIC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36</v>
      </c>
      <c r="E109" t="s">
        <v>23</v>
      </c>
      <c r="F109" t="s">
        <v>21</v>
      </c>
      <c r="G109" t="s">
        <v>20</v>
      </c>
      <c r="H109" t="s">
        <v>71</v>
      </c>
      <c r="I109">
        <v>1</v>
      </c>
      <c r="J109" t="s">
        <v>205</v>
      </c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ユニフォーム渡親治ICONIC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37</v>
      </c>
      <c r="E110" t="s">
        <v>23</v>
      </c>
      <c r="F110" t="s">
        <v>26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908</v>
      </c>
      <c r="D111" t="s">
        <v>37</v>
      </c>
      <c r="E111" s="1" t="s">
        <v>90</v>
      </c>
      <c r="F111" t="s">
        <v>82</v>
      </c>
      <c r="G111" t="s">
        <v>20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アート松川一静ICONIC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908</v>
      </c>
      <c r="D113" t="s">
        <v>38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アート花巻貴大ICONIC</v>
      </c>
    </row>
    <row r="114" spans="1:20" x14ac:dyDescent="0.35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s="1" t="s">
        <v>1165</v>
      </c>
      <c r="D114" s="1" t="s">
        <v>38</v>
      </c>
      <c r="E114" s="1" t="s">
        <v>77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バーガー花巻貴大ICONIC</v>
      </c>
    </row>
    <row r="115" spans="1:20" x14ac:dyDescent="0.35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s="1" t="s">
        <v>108</v>
      </c>
      <c r="D115" s="1" t="s">
        <v>1042</v>
      </c>
      <c r="E115" s="1" t="s">
        <v>73</v>
      </c>
      <c r="F115" s="1" t="s">
        <v>74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178</v>
      </c>
      <c r="M115">
        <v>33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ユニフォーム矢巾秀ICONIC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2</v>
      </c>
      <c r="C116" s="1" t="s">
        <v>108</v>
      </c>
      <c r="D116" s="1" t="s">
        <v>1042</v>
      </c>
      <c r="E116" s="1" t="s">
        <v>73</v>
      </c>
      <c r="F116" s="1" t="s">
        <v>74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49</v>
      </c>
      <c r="N116">
        <v>0</v>
      </c>
      <c r="O116">
        <v>59</v>
      </c>
      <c r="P116">
        <v>0</v>
      </c>
      <c r="T116" t="str">
        <f>Serve[[#This Row],[服装]]&amp;Serve[[#This Row],[名前]]&amp;Serve[[#This Row],[レアリティ]]</f>
        <v>ユニフォーム矢巾秀ICONIC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55</v>
      </c>
      <c r="E117" t="s">
        <v>23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ユニフォーム駒木輝ICONIC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57</v>
      </c>
      <c r="E118" t="s">
        <v>24</v>
      </c>
      <c r="F118" t="s">
        <v>26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ユニフォーム茶屋和馬ICONIC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58</v>
      </c>
      <c r="E119" t="s">
        <v>24</v>
      </c>
      <c r="F119" t="s">
        <v>25</v>
      </c>
      <c r="G119" t="s">
        <v>56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ユニフォーム玉川弘樹ICONIC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59</v>
      </c>
      <c r="E120" t="s">
        <v>24</v>
      </c>
      <c r="F120" t="s">
        <v>21</v>
      </c>
      <c r="G120" t="s">
        <v>56</v>
      </c>
      <c r="H120" t="s">
        <v>71</v>
      </c>
      <c r="I120">
        <v>1</v>
      </c>
      <c r="J120" t="s">
        <v>205</v>
      </c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ユニフォーム桜井大河ICONIC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ユニフォーム芳賀良治ICONIC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ユニフォーム渋谷陸斗ICONIC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ユニフォーム池尻隼人ICONIC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ユニフォーム十和田良樹ICONIC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ユニフォーム森岳歩ICONIC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ユニフォーム唐松拓巳ICONIC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ユニフォーム田沢裕樹ICONIC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ユニフォーム子安颯真ICONIC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205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ユニフォーム横手駿ICONIC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28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ユニフォーム夏瀬伊吹ICONIC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s="1" t="s">
        <v>108</v>
      </c>
      <c r="D131" s="1" t="s">
        <v>1159</v>
      </c>
      <c r="E131" s="1" t="s">
        <v>28</v>
      </c>
      <c r="F131" s="1" t="s">
        <v>31</v>
      </c>
      <c r="G131" s="1" t="s">
        <v>64</v>
      </c>
      <c r="H131" s="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ユニフォーム秋宮昇ICONIC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ユニフォーム古牧譲ICONIC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s="1" t="s">
        <v>959</v>
      </c>
      <c r="D133" t="s">
        <v>72</v>
      </c>
      <c r="E133" s="1" t="s">
        <v>90</v>
      </c>
      <c r="F133" t="s">
        <v>74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雪遊び古牧譲ICONIC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ユニフォーム浅虫快人ICONIC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79</v>
      </c>
      <c r="E135" t="s">
        <v>23</v>
      </c>
      <c r="F135" t="s">
        <v>21</v>
      </c>
      <c r="G135" t="s">
        <v>75</v>
      </c>
      <c r="H135" t="s">
        <v>71</v>
      </c>
      <c r="I135">
        <v>1</v>
      </c>
      <c r="J135" t="s">
        <v>205</v>
      </c>
      <c r="K135" s="1"/>
      <c r="L135" s="1"/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ユニフォーム南田大志ICONIC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81</v>
      </c>
      <c r="E136" t="s">
        <v>23</v>
      </c>
      <c r="F136" t="s">
        <v>26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ユニフォーム湯川良明ICONIC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83</v>
      </c>
      <c r="E137" t="s">
        <v>23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ユニフォーム稲垣功ICONIC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206</v>
      </c>
      <c r="D138" t="s">
        <v>86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ユニフォーム馬門英治ICONIC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206</v>
      </c>
      <c r="D139" t="s">
        <v>88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ユニフォーム百沢雄大ICONIC</v>
      </c>
    </row>
    <row r="140" spans="1:20" x14ac:dyDescent="0.35">
      <c r="A140">
        <f>VLOOKUP(Serve[[#This Row],[No用]],SetNo[[No.用]:[vlookup 用]],2,FALSE)</f>
        <v>125</v>
      </c>
      <c r="B140">
        <f>IF(ROW()=2,1,IF(A139&lt;&gt;Serve[[#This Row],[No]],1,B139+1))</f>
        <v>1</v>
      </c>
      <c r="C140" s="1" t="s">
        <v>702</v>
      </c>
      <c r="D140" t="s">
        <v>88</v>
      </c>
      <c r="E140" s="1" t="s">
        <v>90</v>
      </c>
      <c r="F140" t="s">
        <v>78</v>
      </c>
      <c r="G140" t="s">
        <v>75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職業体験百沢雄大ICONIC</v>
      </c>
    </row>
    <row r="141" spans="1:20" x14ac:dyDescent="0.35">
      <c r="A141">
        <f>VLOOKUP(Serve[[#This Row],[No用]],SetNo[[No.用]:[vlookup 用]],2,FALSE)</f>
        <v>126</v>
      </c>
      <c r="B141">
        <f>IF(ROW()=2,1,IF(A140&lt;&gt;Serve[[#This Row],[No]],1,B140+1))</f>
        <v>1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ユニフォーム照島游児ICONIC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2</v>
      </c>
      <c r="C142" t="s">
        <v>108</v>
      </c>
      <c r="D142" t="s">
        <v>89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51</v>
      </c>
      <c r="N142">
        <v>0</v>
      </c>
      <c r="O142">
        <v>61</v>
      </c>
      <c r="P142">
        <v>0</v>
      </c>
      <c r="T142" t="str">
        <f>Serve[[#This Row],[服装]]&amp;Serve[[#This Row],[名前]]&amp;Serve[[#This Row],[レアリティ]]</f>
        <v>ユニフォーム照島游児ICONIC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149</v>
      </c>
      <c r="D143" t="s">
        <v>89</v>
      </c>
      <c r="E143" t="s">
        <v>77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制服照島游児ICONIC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2</v>
      </c>
      <c r="C144" t="s">
        <v>149</v>
      </c>
      <c r="D144" t="s">
        <v>89</v>
      </c>
      <c r="E144" t="s">
        <v>77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Serve[[#This Row],[服装]]&amp;Serve[[#This Row],[名前]]&amp;Serve[[#This Row],[レアリティ]]</f>
        <v>制服照島游児ICONIC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s="1" t="s">
        <v>959</v>
      </c>
      <c r="D145" t="s">
        <v>89</v>
      </c>
      <c r="E145" s="1" t="s">
        <v>960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雪遊び照島游児ICONIC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ユニフォーム母畑和馬ICONIC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ユニフォーム二岐丈晴ICONIC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31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制服二岐丈晴ICONIC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ユニフォーム沼尻凛太郎ICONIC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94</v>
      </c>
      <c r="E150" t="s">
        <v>90</v>
      </c>
      <c r="F150" t="s">
        <v>82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ユニフォーム飯坂信義ICONIC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95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ユニフォーム東山勝道ICONIC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96</v>
      </c>
      <c r="E152" t="s">
        <v>90</v>
      </c>
      <c r="F152" t="s">
        <v>80</v>
      </c>
      <c r="G152" t="s">
        <v>91</v>
      </c>
      <c r="H152" t="s">
        <v>71</v>
      </c>
      <c r="I152">
        <v>1</v>
      </c>
      <c r="J152" t="s">
        <v>205</v>
      </c>
      <c r="K152" s="1"/>
      <c r="L152" s="1"/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ユニフォーム土湯新ICONIC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100</v>
      </c>
      <c r="E153" t="s">
        <v>77</v>
      </c>
      <c r="F153" t="s">
        <v>78</v>
      </c>
      <c r="G153" t="s">
        <v>130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ユニフォーム中島猛ICONIC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101</v>
      </c>
      <c r="E154" t="s">
        <v>90</v>
      </c>
      <c r="F154" t="s">
        <v>78</v>
      </c>
      <c r="G154" t="s">
        <v>130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ユニフォーム白石優希ICONIC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102</v>
      </c>
      <c r="E155" t="s">
        <v>77</v>
      </c>
      <c r="F155" t="s">
        <v>74</v>
      </c>
      <c r="G155" t="s">
        <v>130</v>
      </c>
      <c r="H155" t="s">
        <v>71</v>
      </c>
      <c r="I155">
        <v>1</v>
      </c>
      <c r="J155" t="s">
        <v>205</v>
      </c>
      <c r="K155" s="1" t="s">
        <v>387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ユニフォーム花山一雅ICONIC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103</v>
      </c>
      <c r="E156" t="s">
        <v>77</v>
      </c>
      <c r="F156" t="s">
        <v>82</v>
      </c>
      <c r="G156" t="s">
        <v>130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ユニフォーム鳴子哲平ICONIC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104</v>
      </c>
      <c r="E157" t="s">
        <v>77</v>
      </c>
      <c r="F157" t="s">
        <v>80</v>
      </c>
      <c r="G157" t="s">
        <v>130</v>
      </c>
      <c r="H157" t="s">
        <v>71</v>
      </c>
      <c r="I157">
        <v>1</v>
      </c>
      <c r="J157" t="s">
        <v>205</v>
      </c>
      <c r="K157" s="1"/>
      <c r="L157" s="1"/>
      <c r="M157">
        <v>0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ユニフォーム秋保和光ICONIC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105</v>
      </c>
      <c r="E158" t="s">
        <v>77</v>
      </c>
      <c r="F158" t="s">
        <v>82</v>
      </c>
      <c r="G158" t="s">
        <v>130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ユニフォーム松島剛ICONIC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106</v>
      </c>
      <c r="E159" t="s">
        <v>77</v>
      </c>
      <c r="F159" t="s">
        <v>78</v>
      </c>
      <c r="G159" t="s">
        <v>130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32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ユニフォーム川渡瞬己ICONIC</v>
      </c>
    </row>
    <row r="160" spans="1:20" x14ac:dyDescent="0.35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109</v>
      </c>
      <c r="E160" t="s">
        <v>73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685</v>
      </c>
      <c r="L160" s="1" t="s">
        <v>162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ユニフォーム牛島若利ICONIC</v>
      </c>
    </row>
    <row r="161" spans="1:20" x14ac:dyDescent="0.35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685</v>
      </c>
      <c r="L161" s="1" t="s">
        <v>173</v>
      </c>
      <c r="M161">
        <v>41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水着牛島若利ICONIC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2</v>
      </c>
      <c r="C162" t="s">
        <v>116</v>
      </c>
      <c r="D162" t="s">
        <v>109</v>
      </c>
      <c r="E162" t="s">
        <v>90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51</v>
      </c>
      <c r="N162">
        <v>0</v>
      </c>
      <c r="O162">
        <v>61</v>
      </c>
      <c r="P162">
        <v>0</v>
      </c>
      <c r="T162" t="str">
        <f>Serve[[#This Row],[服装]]&amp;Serve[[#This Row],[名前]]&amp;Serve[[#This Row],[レアリティ]]</f>
        <v>水着牛島若利ICONIC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s="1" t="s">
        <v>935</v>
      </c>
      <c r="D163" t="s">
        <v>109</v>
      </c>
      <c r="E163" s="1" t="s">
        <v>77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新年牛島若利ICONIC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t="s">
        <v>110</v>
      </c>
      <c r="E164" t="s">
        <v>73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116</v>
      </c>
      <c r="D165" t="s">
        <v>110</v>
      </c>
      <c r="E165" t="s">
        <v>90</v>
      </c>
      <c r="F165" t="s">
        <v>82</v>
      </c>
      <c r="G165" t="s">
        <v>118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水着天童覚ICONIC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895</v>
      </c>
      <c r="D166" t="s">
        <v>110</v>
      </c>
      <c r="E166" s="1" t="s">
        <v>77</v>
      </c>
      <c r="F166" t="s">
        <v>82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文化祭天童覚ICONIC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111</v>
      </c>
      <c r="E167" t="s">
        <v>77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ユニフォーム五色工ICONIC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702</v>
      </c>
      <c r="D168" t="s">
        <v>111</v>
      </c>
      <c r="E168" s="1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39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職業体験五色工ICONIC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t="s">
        <v>393</v>
      </c>
      <c r="L169" t="s">
        <v>276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ユニフォーム白布賢二郎ICONIC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391</v>
      </c>
      <c r="D170" t="s">
        <v>392</v>
      </c>
      <c r="E170" t="s">
        <v>24</v>
      </c>
      <c r="F170" t="s">
        <v>31</v>
      </c>
      <c r="G170" t="s">
        <v>157</v>
      </c>
      <c r="H170" t="s">
        <v>71</v>
      </c>
      <c r="I170">
        <v>1</v>
      </c>
      <c r="J170" t="s">
        <v>10</v>
      </c>
      <c r="K170" t="s">
        <v>393</v>
      </c>
      <c r="L170" t="s">
        <v>276</v>
      </c>
      <c r="M170">
        <v>36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探偵白布賢二郎ICONIC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113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178</v>
      </c>
      <c r="M171">
        <v>34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ユニフォーム大平獅音ICONIC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114</v>
      </c>
      <c r="E172" t="s">
        <v>73</v>
      </c>
      <c r="F172" t="s">
        <v>82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ユニフォーム川西太一ICONIC</v>
      </c>
    </row>
    <row r="173" spans="1:20" x14ac:dyDescent="0.35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1122</v>
      </c>
      <c r="D173" s="1" t="s">
        <v>114</v>
      </c>
      <c r="E173" s="1" t="s">
        <v>90</v>
      </c>
      <c r="F173" s="1" t="s">
        <v>82</v>
      </c>
      <c r="G173" s="1" t="s">
        <v>118</v>
      </c>
      <c r="H173" s="1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路地裏川西太一ICONIC</v>
      </c>
    </row>
    <row r="174" spans="1:20" x14ac:dyDescent="0.35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s="1" t="s">
        <v>662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223</v>
      </c>
      <c r="L174" s="1" t="s">
        <v>178</v>
      </c>
      <c r="M174">
        <v>29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ユニフォーム瀬見英太ICONIC</v>
      </c>
    </row>
    <row r="175" spans="1:20" x14ac:dyDescent="0.35">
      <c r="A175">
        <f>VLOOKUP(Serve[[#This Row],[No用]],SetNo[[No.用]:[vlookup 用]],2,FALSE)</f>
        <v>156</v>
      </c>
      <c r="B175">
        <f>IF(ROW()=2,1,IF(A174&lt;&gt;Serve[[#This Row],[No]],1,B174+1))</f>
        <v>2</v>
      </c>
      <c r="C175" t="s">
        <v>108</v>
      </c>
      <c r="D175" s="1" t="s">
        <v>662</v>
      </c>
      <c r="E175" t="s">
        <v>73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ユニフォーム瀬見英太ICONIC</v>
      </c>
    </row>
    <row r="176" spans="1:20" x14ac:dyDescent="0.35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988</v>
      </c>
      <c r="D176" s="1" t="s">
        <v>662</v>
      </c>
      <c r="E176" s="1" t="s">
        <v>90</v>
      </c>
      <c r="F176" t="s">
        <v>74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32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雪遊び瀬見英太ICONIC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s="1" t="s">
        <v>988</v>
      </c>
      <c r="D177" s="1" t="s">
        <v>662</v>
      </c>
      <c r="E177" s="1" t="s">
        <v>90</v>
      </c>
      <c r="F177" t="s">
        <v>74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Serve[[#This Row],[服装]]&amp;Serve[[#This Row],[名前]]&amp;Serve[[#This Row],[レアリティ]]</f>
        <v>雪遊び瀬見英太ICONIC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t="s">
        <v>115</v>
      </c>
      <c r="E178" t="s">
        <v>73</v>
      </c>
      <c r="F178" t="s">
        <v>80</v>
      </c>
      <c r="G178" t="s">
        <v>118</v>
      </c>
      <c r="H178" t="s">
        <v>71</v>
      </c>
      <c r="I178">
        <v>1</v>
      </c>
      <c r="J178" t="s">
        <v>205</v>
      </c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ユニフォーム山形隼人ICONIC</v>
      </c>
    </row>
    <row r="179" spans="1:20" x14ac:dyDescent="0.35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t="s">
        <v>186</v>
      </c>
      <c r="E179" t="s">
        <v>77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42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ユニフォーム宮侑ICONIC</v>
      </c>
    </row>
    <row r="180" spans="1:20" x14ac:dyDescent="0.35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s="1" t="s">
        <v>895</v>
      </c>
      <c r="D180" t="s">
        <v>186</v>
      </c>
      <c r="E180" s="1" t="s">
        <v>73</v>
      </c>
      <c r="F180" t="s">
        <v>74</v>
      </c>
      <c r="G180" t="s">
        <v>185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文化祭宮侑ICONIC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2</v>
      </c>
      <c r="C181" s="1" t="s">
        <v>895</v>
      </c>
      <c r="D181" t="s">
        <v>186</v>
      </c>
      <c r="E181" s="1" t="s">
        <v>73</v>
      </c>
      <c r="F181" t="s">
        <v>74</v>
      </c>
      <c r="G181" t="s">
        <v>185</v>
      </c>
      <c r="H181" t="s">
        <v>71</v>
      </c>
      <c r="I181">
        <v>1</v>
      </c>
      <c r="J181" t="s">
        <v>205</v>
      </c>
      <c r="K181" s="1" t="s">
        <v>194</v>
      </c>
      <c r="L181" s="1" t="s">
        <v>225</v>
      </c>
      <c r="M181">
        <v>57</v>
      </c>
      <c r="N181">
        <v>0</v>
      </c>
      <c r="O181">
        <v>64</v>
      </c>
      <c r="P181">
        <v>0</v>
      </c>
      <c r="T181" t="str">
        <f>Serve[[#This Row],[服装]]&amp;Serve[[#This Row],[名前]]&amp;Serve[[#This Row],[レアリティ]]</f>
        <v>文化祭宮侑ICONIC</v>
      </c>
    </row>
    <row r="182" spans="1:20" x14ac:dyDescent="0.35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1071</v>
      </c>
      <c r="D182" s="1" t="s">
        <v>186</v>
      </c>
      <c r="E182" s="1" t="s">
        <v>90</v>
      </c>
      <c r="F182" s="1" t="s">
        <v>74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178</v>
      </c>
      <c r="M182">
        <v>39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RPG宮侑ICONIC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2</v>
      </c>
      <c r="C183" s="1" t="s">
        <v>1071</v>
      </c>
      <c r="D183" s="1" t="s">
        <v>186</v>
      </c>
      <c r="E183" s="1" t="s">
        <v>90</v>
      </c>
      <c r="F183" s="1" t="s">
        <v>74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50</v>
      </c>
      <c r="N183">
        <v>0</v>
      </c>
      <c r="O183">
        <v>60</v>
      </c>
      <c r="P183">
        <v>0</v>
      </c>
      <c r="T183" t="str">
        <f>Serve[[#This Row],[服装]]&amp;Serve[[#This Row],[名前]]&amp;Serve[[#This Row],[レアリティ]]</f>
        <v>RPG宮侑ICONIC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187</v>
      </c>
      <c r="E184" t="s">
        <v>90</v>
      </c>
      <c r="F184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ユニフォーム宮治ICONIC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1071</v>
      </c>
      <c r="D185" s="1" t="s">
        <v>187</v>
      </c>
      <c r="E185" s="1" t="s">
        <v>90</v>
      </c>
      <c r="F185" s="1" t="s">
        <v>78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178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RPG宮治ICONIC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2</v>
      </c>
      <c r="C186" s="1" t="s">
        <v>1071</v>
      </c>
      <c r="D186" s="1" t="s">
        <v>187</v>
      </c>
      <c r="E186" s="1" t="s">
        <v>90</v>
      </c>
      <c r="F186" s="1" t="s">
        <v>78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50</v>
      </c>
      <c r="N186">
        <v>0</v>
      </c>
      <c r="O186">
        <v>60</v>
      </c>
      <c r="P186">
        <v>0</v>
      </c>
      <c r="T186" t="str">
        <f>Serve[[#This Row],[服装]]&amp;Serve[[#This Row],[名前]]&amp;Serve[[#This Row],[レアリティ]]</f>
        <v>RPG宮治ICONIC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108</v>
      </c>
      <c r="D187" t="s">
        <v>188</v>
      </c>
      <c r="E187" t="s">
        <v>77</v>
      </c>
      <c r="F187" t="s">
        <v>82</v>
      </c>
      <c r="G187" t="s">
        <v>185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32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ユニフォーム角名倫太郎ICONIC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s="1" t="s">
        <v>1049</v>
      </c>
      <c r="D188" s="1" t="s">
        <v>188</v>
      </c>
      <c r="E188" s="1" t="s">
        <v>73</v>
      </c>
      <c r="F188" s="1" t="s">
        <v>82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223</v>
      </c>
      <c r="L188" s="1" t="s">
        <v>178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サバゲ角名倫太郎ICONIC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2</v>
      </c>
      <c r="C189" s="1" t="s">
        <v>1049</v>
      </c>
      <c r="D189" s="1" t="s">
        <v>188</v>
      </c>
      <c r="E189" s="1" t="s">
        <v>73</v>
      </c>
      <c r="F189" s="1" t="s">
        <v>82</v>
      </c>
      <c r="G189" s="1" t="s">
        <v>185</v>
      </c>
      <c r="H189" s="1" t="s">
        <v>71</v>
      </c>
      <c r="I189">
        <v>1</v>
      </c>
      <c r="J189" t="s">
        <v>205</v>
      </c>
      <c r="K189" s="1" t="s">
        <v>223</v>
      </c>
      <c r="L189" s="1" t="s">
        <v>225</v>
      </c>
      <c r="M189">
        <v>47</v>
      </c>
      <c r="N189">
        <v>0</v>
      </c>
      <c r="O189">
        <v>57</v>
      </c>
      <c r="P189">
        <v>0</v>
      </c>
      <c r="T189" t="str">
        <f>Serve[[#This Row],[服装]]&amp;Serve[[#This Row],[名前]]&amp;Serve[[#This Row],[レアリティ]]</f>
        <v>サバゲ角名倫太郎ICONIC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t="s">
        <v>108</v>
      </c>
      <c r="D190" t="s">
        <v>189</v>
      </c>
      <c r="E190" t="s">
        <v>77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ユニフォーム北信介ICONIC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s="1" t="s">
        <v>915</v>
      </c>
      <c r="D191" t="s">
        <v>189</v>
      </c>
      <c r="E191" s="1" t="s">
        <v>73</v>
      </c>
      <c r="F19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223</v>
      </c>
      <c r="L191" s="1" t="s">
        <v>178</v>
      </c>
      <c r="M191">
        <v>31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Xmas北信介ICONIC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2</v>
      </c>
      <c r="C192" s="1" t="s">
        <v>915</v>
      </c>
      <c r="D192" t="s">
        <v>189</v>
      </c>
      <c r="E192" s="1" t="s">
        <v>73</v>
      </c>
      <c r="F192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47</v>
      </c>
      <c r="N192">
        <v>0</v>
      </c>
      <c r="O192">
        <v>57</v>
      </c>
      <c r="P192">
        <v>0</v>
      </c>
      <c r="T192" t="str">
        <f>Serve[[#This Row],[服装]]&amp;Serve[[#This Row],[名前]]&amp;Serve[[#This Row],[レアリティ]]</f>
        <v>Xmas北信介ICONIC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665</v>
      </c>
      <c r="E193" t="s">
        <v>77</v>
      </c>
      <c r="F193" s="1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162</v>
      </c>
      <c r="M193">
        <v>33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ユニフォーム尾白アランICONIC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959</v>
      </c>
      <c r="D194" s="1" t="s">
        <v>665</v>
      </c>
      <c r="E194" s="1" t="s">
        <v>979</v>
      </c>
      <c r="F194" s="1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雪遊び尾白アランICONIC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667</v>
      </c>
      <c r="E195" t="s">
        <v>77</v>
      </c>
      <c r="F195" s="1" t="s">
        <v>80</v>
      </c>
      <c r="G195" t="s">
        <v>185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ユニフォーム赤木路成ICONIC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s="1" t="s">
        <v>669</v>
      </c>
      <c r="E196" t="s">
        <v>77</v>
      </c>
      <c r="F196" s="1" t="s">
        <v>82</v>
      </c>
      <c r="G196" t="s">
        <v>185</v>
      </c>
      <c r="H196" t="s">
        <v>71</v>
      </c>
      <c r="I196">
        <v>1</v>
      </c>
      <c r="J196" t="s">
        <v>205</v>
      </c>
      <c r="K196" s="1" t="s">
        <v>226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ユニフォーム大耳練ICONIC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s="1" t="s">
        <v>671</v>
      </c>
      <c r="E197" t="s">
        <v>77</v>
      </c>
      <c r="F197" s="1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ユニフォーム理石平介ICONIC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t="s">
        <v>108</v>
      </c>
      <c r="D198" s="1" t="s">
        <v>671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Serve[[#This Row],[服装]]&amp;Serve[[#This Row],[名前]]&amp;Serve[[#This Row],[レアリティ]]</f>
        <v>ユニフォーム理石平介ICONIC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108</v>
      </c>
      <c r="D199" s="1" t="s">
        <v>1178</v>
      </c>
      <c r="E199" s="1" t="s">
        <v>77</v>
      </c>
      <c r="F199" s="1" t="s">
        <v>78</v>
      </c>
      <c r="G199" s="1" t="s">
        <v>185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178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ユニフォーム銀島結ICONIC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122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150</v>
      </c>
      <c r="D201" t="s">
        <v>122</v>
      </c>
      <c r="E201" t="s">
        <v>77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夏祭り木兎光太郎ICONIC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915</v>
      </c>
      <c r="D202" t="s">
        <v>122</v>
      </c>
      <c r="E202" s="1" t="s">
        <v>73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Xmas木兎光太郎ICONIC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s="1" t="s">
        <v>149</v>
      </c>
      <c r="D203" t="s">
        <v>122</v>
      </c>
      <c r="E203" s="1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制服木兎光太郎ICONIC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123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ユニフォーム木葉秋紀ICONIC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386</v>
      </c>
      <c r="D205" t="s">
        <v>123</v>
      </c>
      <c r="E205" s="1" t="s">
        <v>77</v>
      </c>
      <c r="F205" t="s">
        <v>78</v>
      </c>
      <c r="G205" t="s">
        <v>128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探偵木葉秋紀ICONIC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124</v>
      </c>
      <c r="E206" t="s">
        <v>90</v>
      </c>
      <c r="F206" t="s">
        <v>78</v>
      </c>
      <c r="G206" t="s">
        <v>128</v>
      </c>
      <c r="H206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ユニフォーム猿杙大和ICONIC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125</v>
      </c>
      <c r="E207" t="s">
        <v>90</v>
      </c>
      <c r="F207" t="s">
        <v>80</v>
      </c>
      <c r="G207" t="s">
        <v>128</v>
      </c>
      <c r="H207" t="s">
        <v>71</v>
      </c>
      <c r="I207">
        <v>1</v>
      </c>
      <c r="J207" t="s">
        <v>205</v>
      </c>
      <c r="K207" s="1"/>
      <c r="L207" s="1"/>
      <c r="M207">
        <v>0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ユニフォーム小見春樹ICONIC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108</v>
      </c>
      <c r="D208" t="s">
        <v>126</v>
      </c>
      <c r="E208" t="s">
        <v>90</v>
      </c>
      <c r="F208" t="s">
        <v>82</v>
      </c>
      <c r="G208" t="s">
        <v>128</v>
      </c>
      <c r="H208" t="s">
        <v>71</v>
      </c>
      <c r="I208">
        <v>1</v>
      </c>
      <c r="J208" t="s">
        <v>205</v>
      </c>
      <c r="K208" s="1" t="s">
        <v>223</v>
      </c>
      <c r="L208" s="1" t="s">
        <v>162</v>
      </c>
      <c r="M208">
        <v>24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ユニフォーム尾長渉ICONIC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t="s">
        <v>108</v>
      </c>
      <c r="D209" t="s">
        <v>127</v>
      </c>
      <c r="E209" t="s">
        <v>90</v>
      </c>
      <c r="F209" t="s">
        <v>82</v>
      </c>
      <c r="G209" t="s">
        <v>128</v>
      </c>
      <c r="H209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ユニフォーム鷲尾辰生ICONIC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t="s">
        <v>108</v>
      </c>
      <c r="D210" t="s">
        <v>129</v>
      </c>
      <c r="E210" t="s">
        <v>73</v>
      </c>
      <c r="F210" t="s">
        <v>74</v>
      </c>
      <c r="G210" t="s">
        <v>128</v>
      </c>
      <c r="H210" t="s">
        <v>71</v>
      </c>
      <c r="I210">
        <v>1</v>
      </c>
      <c r="J210" t="s">
        <v>205</v>
      </c>
      <c r="K210" s="1" t="s">
        <v>226</v>
      </c>
      <c r="L210" s="1" t="s">
        <v>173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ユニフォーム赤葦京治ICONIC</v>
      </c>
    </row>
    <row r="211" spans="1:20" x14ac:dyDescent="0.35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t="s">
        <v>150</v>
      </c>
      <c r="D211" t="s">
        <v>129</v>
      </c>
      <c r="E211" t="s">
        <v>90</v>
      </c>
      <c r="F211" t="s">
        <v>74</v>
      </c>
      <c r="G211" t="s">
        <v>128</v>
      </c>
      <c r="H211" t="s">
        <v>71</v>
      </c>
      <c r="I211">
        <v>1</v>
      </c>
      <c r="J211" t="s">
        <v>205</v>
      </c>
      <c r="K211" s="1" t="s">
        <v>226</v>
      </c>
      <c r="L211" s="1" t="s">
        <v>173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夏祭り赤葦京治ICONIC</v>
      </c>
    </row>
    <row r="212" spans="1:20" x14ac:dyDescent="0.35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s="1" t="s">
        <v>149</v>
      </c>
      <c r="D212" s="1" t="s">
        <v>129</v>
      </c>
      <c r="E212" s="1" t="s">
        <v>77</v>
      </c>
      <c r="F212" s="1" t="s">
        <v>74</v>
      </c>
      <c r="G212" s="1" t="s">
        <v>128</v>
      </c>
      <c r="H212" s="1" t="s">
        <v>71</v>
      </c>
      <c r="I212">
        <v>1</v>
      </c>
      <c r="J212" t="s">
        <v>205</v>
      </c>
      <c r="K212" s="1" t="s">
        <v>226</v>
      </c>
      <c r="L212" s="1" t="s">
        <v>173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制服赤葦京治ICONIC</v>
      </c>
    </row>
    <row r="213" spans="1:20" x14ac:dyDescent="0.35">
      <c r="A213">
        <f>VLOOKUP(Serve[[#This Row],[No用]],SetNo[[No.用]:[vlookup 用]],2,FALSE)</f>
        <v>187</v>
      </c>
      <c r="B213">
        <f>IF(ROW()=2,1,IF(A212&lt;&gt;Serve[[#This Row],[No]],1,B212+1))</f>
        <v>1</v>
      </c>
      <c r="C213" s="1" t="s">
        <v>1165</v>
      </c>
      <c r="D213" s="1" t="s">
        <v>129</v>
      </c>
      <c r="E213" s="1" t="s">
        <v>73</v>
      </c>
      <c r="F213" s="1" t="s">
        <v>74</v>
      </c>
      <c r="G213" s="1" t="s">
        <v>128</v>
      </c>
      <c r="H213" s="1" t="s">
        <v>71</v>
      </c>
      <c r="I213">
        <v>2</v>
      </c>
      <c r="J213" t="s">
        <v>205</v>
      </c>
      <c r="K213" s="1" t="s">
        <v>226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バーガー赤葦京治ICONIC</v>
      </c>
    </row>
    <row r="214" spans="1:20" x14ac:dyDescent="0.35">
      <c r="A214">
        <f>VLOOKUP(Serve[[#This Row],[No用]],SetNo[[No.用]:[vlookup 用]],2,FALSE)</f>
        <v>188</v>
      </c>
      <c r="B214">
        <f>IF(ROW()=2,1,IF(A213&lt;&gt;Serve[[#This Row],[No]],1,B213+1))</f>
        <v>1</v>
      </c>
      <c r="C214" s="1" t="s">
        <v>108</v>
      </c>
      <c r="D214" s="1" t="s">
        <v>1116</v>
      </c>
      <c r="E214" s="1" t="s">
        <v>90</v>
      </c>
      <c r="F214" s="1" t="s">
        <v>78</v>
      </c>
      <c r="G214" s="1" t="s">
        <v>1102</v>
      </c>
      <c r="H214" s="1" t="s">
        <v>690</v>
      </c>
      <c r="I214">
        <v>1</v>
      </c>
      <c r="J214" t="s">
        <v>205</v>
      </c>
      <c r="K214" s="1" t="s">
        <v>226</v>
      </c>
      <c r="L214" s="1" t="s">
        <v>173</v>
      </c>
      <c r="M214">
        <v>34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ユニフォーム姫川葵ICONIC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2</v>
      </c>
      <c r="C215" s="1" t="s">
        <v>108</v>
      </c>
      <c r="D215" s="1" t="s">
        <v>1116</v>
      </c>
      <c r="E215" s="1" t="s">
        <v>90</v>
      </c>
      <c r="F215" s="1" t="s">
        <v>78</v>
      </c>
      <c r="G215" s="1" t="s">
        <v>1102</v>
      </c>
      <c r="H215" s="1" t="s">
        <v>690</v>
      </c>
      <c r="I215">
        <v>1</v>
      </c>
      <c r="J215" t="s">
        <v>205</v>
      </c>
      <c r="K215" s="1" t="s">
        <v>226</v>
      </c>
      <c r="L215" s="1" t="s">
        <v>225</v>
      </c>
      <c r="M215">
        <v>47</v>
      </c>
      <c r="N215">
        <v>0</v>
      </c>
      <c r="O215">
        <v>57</v>
      </c>
      <c r="P215">
        <v>0</v>
      </c>
      <c r="T215" t="str">
        <f>Serve[[#This Row],[服装]]&amp;Serve[[#This Row],[名前]]&amp;Serve[[#This Row],[レアリティ]]</f>
        <v>ユニフォーム姫川葵ICONIC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1130</v>
      </c>
      <c r="E216" s="1" t="s">
        <v>90</v>
      </c>
      <c r="F216" s="1" t="s">
        <v>82</v>
      </c>
      <c r="G216" s="1" t="s">
        <v>1102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ユニフォーム当間義友ICONIC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1100</v>
      </c>
      <c r="E217" s="1" t="s">
        <v>90</v>
      </c>
      <c r="F217" s="1" t="s">
        <v>74</v>
      </c>
      <c r="G217" s="1" t="s">
        <v>1102</v>
      </c>
      <c r="H217" s="1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ユニフォーム越後栄ICONIC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108</v>
      </c>
      <c r="D218" s="1" t="s">
        <v>1136</v>
      </c>
      <c r="E218" s="1" t="s">
        <v>90</v>
      </c>
      <c r="F218" s="1" t="s">
        <v>80</v>
      </c>
      <c r="G218" s="1" t="s">
        <v>1102</v>
      </c>
      <c r="H218" s="1" t="s">
        <v>71</v>
      </c>
      <c r="I218">
        <v>1</v>
      </c>
      <c r="J218" t="s">
        <v>205</v>
      </c>
      <c r="K218" s="1"/>
      <c r="L218" s="1"/>
      <c r="M218">
        <v>0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ユニフォーム貝掛亮文ICONIC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s="1" t="s">
        <v>108</v>
      </c>
      <c r="D219" s="1" t="s">
        <v>1147</v>
      </c>
      <c r="E219" s="1" t="s">
        <v>73</v>
      </c>
      <c r="F219" s="1" t="s">
        <v>78</v>
      </c>
      <c r="G219" s="1" t="s">
        <v>1102</v>
      </c>
      <c r="H219" s="1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26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ユニフォーム丸山一喜ICONIC</v>
      </c>
    </row>
    <row r="220" spans="1:20" x14ac:dyDescent="0.35">
      <c r="A220">
        <f>VLOOKUP(Serve[[#This Row],[No用]],SetNo[[No.用]:[vlookup 用]],2,FALSE)</f>
        <v>193</v>
      </c>
      <c r="B220">
        <f>IF(ROW()=2,1,IF(A219&lt;&gt;Serve[[#This Row],[No]],1,B219+1))</f>
        <v>1</v>
      </c>
      <c r="C220" s="1" t="s">
        <v>108</v>
      </c>
      <c r="D220" s="1" t="s">
        <v>1152</v>
      </c>
      <c r="E220" s="1" t="s">
        <v>90</v>
      </c>
      <c r="F220" s="1" t="s">
        <v>78</v>
      </c>
      <c r="G220" s="1" t="s">
        <v>1102</v>
      </c>
      <c r="H220" s="1" t="s">
        <v>71</v>
      </c>
      <c r="I220">
        <v>1</v>
      </c>
      <c r="J220" t="s">
        <v>205</v>
      </c>
      <c r="K220" s="1" t="s">
        <v>223</v>
      </c>
      <c r="L220" s="1" t="s">
        <v>162</v>
      </c>
      <c r="M220">
        <v>21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ユニフォーム舞子侑志ICONIC</v>
      </c>
    </row>
    <row r="221" spans="1:20" x14ac:dyDescent="0.35">
      <c r="A221">
        <f>VLOOKUP(Serve[[#This Row],[No用]],SetNo[[No.用]:[vlookup 用]],2,FALSE)</f>
        <v>194</v>
      </c>
      <c r="B221">
        <f>IF(ROW()=2,1,IF(A220&lt;&gt;Serve[[#This Row],[No]],1,B220+1))</f>
        <v>1</v>
      </c>
      <c r="C221" s="1" t="s">
        <v>108</v>
      </c>
      <c r="D221" s="1" t="s">
        <v>1110</v>
      </c>
      <c r="E221" s="1" t="s">
        <v>90</v>
      </c>
      <c r="F221" s="1" t="s">
        <v>78</v>
      </c>
      <c r="G221" s="1" t="s">
        <v>1102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ユニフォーム寺泊基希ICONIC</v>
      </c>
    </row>
    <row r="222" spans="1:20" x14ac:dyDescent="0.35">
      <c r="A222">
        <f>VLOOKUP(Serve[[#This Row],[No用]],SetNo[[No.用]:[vlookup 用]],2,FALSE)</f>
        <v>195</v>
      </c>
      <c r="B222">
        <f>IF(ROW()=2,1,IF(A221&lt;&gt;Serve[[#This Row],[No]],1,B221+1))</f>
        <v>1</v>
      </c>
      <c r="C222" t="s">
        <v>108</v>
      </c>
      <c r="D222" t="s">
        <v>283</v>
      </c>
      <c r="E222" t="s">
        <v>77</v>
      </c>
      <c r="F222" t="s">
        <v>78</v>
      </c>
      <c r="G222" t="s">
        <v>134</v>
      </c>
      <c r="H222" t="s">
        <v>71</v>
      </c>
      <c r="I222">
        <v>1</v>
      </c>
      <c r="J222" t="s">
        <v>205</v>
      </c>
      <c r="K222" s="1" t="s">
        <v>184</v>
      </c>
      <c r="L222" s="1" t="s">
        <v>178</v>
      </c>
      <c r="M222">
        <v>35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ユニフォーム星海光来ICONIC</v>
      </c>
    </row>
    <row r="223" spans="1:20" x14ac:dyDescent="0.35">
      <c r="A223">
        <f>VLOOKUP(Serve[[#This Row],[No用]],SetNo[[No.用]:[vlookup 用]],2,FALSE)</f>
        <v>196</v>
      </c>
      <c r="B223">
        <f>IF(ROW()=2,1,IF(A222&lt;&gt;Serve[[#This Row],[No]],1,B222+1))</f>
        <v>1</v>
      </c>
      <c r="C223" s="1" t="s">
        <v>895</v>
      </c>
      <c r="D223" t="s">
        <v>283</v>
      </c>
      <c r="E223" s="1" t="s">
        <v>73</v>
      </c>
      <c r="F223" t="s">
        <v>78</v>
      </c>
      <c r="G223" t="s">
        <v>134</v>
      </c>
      <c r="H223" t="s">
        <v>71</v>
      </c>
      <c r="I223">
        <v>1</v>
      </c>
      <c r="J223" t="s">
        <v>205</v>
      </c>
      <c r="K223" s="1" t="s">
        <v>184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文化祭星海光来ICONIC</v>
      </c>
    </row>
    <row r="224" spans="1:20" x14ac:dyDescent="0.35">
      <c r="A224">
        <f>VLOOKUP(Serve[[#This Row],[No用]],SetNo[[No.用]:[vlookup 用]],2,FALSE)</f>
        <v>196</v>
      </c>
      <c r="B224">
        <f>IF(ROW()=2,1,IF(A223&lt;&gt;Serve[[#This Row],[No]],1,B223+1))</f>
        <v>2</v>
      </c>
      <c r="C224" s="1" t="s">
        <v>895</v>
      </c>
      <c r="D224" t="s">
        <v>283</v>
      </c>
      <c r="E224" s="1" t="s">
        <v>73</v>
      </c>
      <c r="F224" t="s">
        <v>78</v>
      </c>
      <c r="G224" t="s">
        <v>134</v>
      </c>
      <c r="H224" t="s">
        <v>71</v>
      </c>
      <c r="I224">
        <v>1</v>
      </c>
      <c r="J224" t="s">
        <v>205</v>
      </c>
      <c r="K224" s="1" t="s">
        <v>184</v>
      </c>
      <c r="L224" s="1" t="s">
        <v>225</v>
      </c>
      <c r="M224">
        <v>51</v>
      </c>
      <c r="N224">
        <v>0</v>
      </c>
      <c r="O224">
        <v>61</v>
      </c>
      <c r="P224">
        <v>0</v>
      </c>
      <c r="T224" t="str">
        <f>Serve[[#This Row],[服装]]&amp;Serve[[#This Row],[名前]]&amp;Serve[[#This Row],[レアリティ]]</f>
        <v>文化祭星海光来ICONIC</v>
      </c>
    </row>
    <row r="225" spans="1:20" x14ac:dyDescent="0.35">
      <c r="A225">
        <f>VLOOKUP(Serve[[#This Row],[No用]],SetNo[[No.用]:[vlookup 用]],2,FALSE)</f>
        <v>197</v>
      </c>
      <c r="B225">
        <f>IF(ROW()=2,1,IF(A224&lt;&gt;Serve[[#This Row],[No]],1,B224+1))</f>
        <v>1</v>
      </c>
      <c r="C225" s="1" t="s">
        <v>1049</v>
      </c>
      <c r="D225" s="1" t="s">
        <v>283</v>
      </c>
      <c r="E225" s="1" t="s">
        <v>90</v>
      </c>
      <c r="F225" s="1" t="s">
        <v>78</v>
      </c>
      <c r="G225" s="1" t="s">
        <v>134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サバゲ星海光来ICONIC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2</v>
      </c>
      <c r="C226" s="1" t="s">
        <v>1049</v>
      </c>
      <c r="D226" s="1" t="s">
        <v>283</v>
      </c>
      <c r="E226" s="1" t="s">
        <v>90</v>
      </c>
      <c r="F226" s="1" t="s">
        <v>78</v>
      </c>
      <c r="G226" s="1" t="s">
        <v>134</v>
      </c>
      <c r="H226" s="1" t="s">
        <v>71</v>
      </c>
      <c r="I226">
        <v>1</v>
      </c>
      <c r="J226" t="s">
        <v>205</v>
      </c>
      <c r="K226" s="1" t="s">
        <v>184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Serve[[#This Row],[服装]]&amp;Serve[[#This Row],[名前]]&amp;Serve[[#This Row],[レアリティ]]</f>
        <v>サバゲ星海光来ICONIC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t="s">
        <v>108</v>
      </c>
      <c r="D227" t="s">
        <v>133</v>
      </c>
      <c r="E227" t="s">
        <v>77</v>
      </c>
      <c r="F227" t="s">
        <v>82</v>
      </c>
      <c r="G227" t="s">
        <v>134</v>
      </c>
      <c r="H227" t="s">
        <v>71</v>
      </c>
      <c r="I227">
        <v>1</v>
      </c>
      <c r="J227" t="s">
        <v>205</v>
      </c>
      <c r="K227" s="1" t="s">
        <v>184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ユニフォーム昼神幸郎ICONIC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s="1" t="s">
        <v>915</v>
      </c>
      <c r="D228" t="s">
        <v>133</v>
      </c>
      <c r="E228" s="1" t="s">
        <v>73</v>
      </c>
      <c r="F228" t="s">
        <v>82</v>
      </c>
      <c r="G228" t="s">
        <v>134</v>
      </c>
      <c r="H228" t="s">
        <v>71</v>
      </c>
      <c r="I228">
        <v>1</v>
      </c>
      <c r="J228" t="s">
        <v>205</v>
      </c>
      <c r="K228" s="1" t="s">
        <v>184</v>
      </c>
      <c r="L228" s="1" t="s">
        <v>178</v>
      </c>
      <c r="M228">
        <v>36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Xmas昼神幸郎ICONIC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t="s">
        <v>108</v>
      </c>
      <c r="D229" t="s">
        <v>131</v>
      </c>
      <c r="E229" t="s">
        <v>77</v>
      </c>
      <c r="F229" t="s">
        <v>78</v>
      </c>
      <c r="G229" t="s">
        <v>135</v>
      </c>
      <c r="H229" t="s">
        <v>71</v>
      </c>
      <c r="I229">
        <v>1</v>
      </c>
      <c r="J229" t="s">
        <v>205</v>
      </c>
      <c r="K229" s="1" t="s">
        <v>184</v>
      </c>
      <c r="L229" s="1" t="s">
        <v>162</v>
      </c>
      <c r="M229">
        <v>35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ユニフォーム佐久早聖臣ICONIC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s="1" t="s">
        <v>1049</v>
      </c>
      <c r="D230" s="1" t="s">
        <v>131</v>
      </c>
      <c r="E230" s="1" t="s">
        <v>73</v>
      </c>
      <c r="F230" s="1" t="s">
        <v>78</v>
      </c>
      <c r="G230" s="1" t="s">
        <v>135</v>
      </c>
      <c r="H230" s="1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サバゲ佐久早聖臣ICONIC</v>
      </c>
    </row>
    <row r="231" spans="1:20" x14ac:dyDescent="0.35">
      <c r="A231">
        <f>VLOOKUP(Serve[[#This Row],[No用]],SetNo[[No.用]:[vlookup 用]],2,FALSE)</f>
        <v>202</v>
      </c>
      <c r="B231">
        <f>IF(ROW()=2,1,IF(A230&lt;&gt;Serve[[#This Row],[No]],1,B230+1))</f>
        <v>1</v>
      </c>
      <c r="C231" t="s">
        <v>108</v>
      </c>
      <c r="D231" t="s">
        <v>132</v>
      </c>
      <c r="E231" t="s">
        <v>77</v>
      </c>
      <c r="F231" t="s">
        <v>80</v>
      </c>
      <c r="G231" t="s">
        <v>135</v>
      </c>
      <c r="H231" t="s">
        <v>71</v>
      </c>
      <c r="I231">
        <v>1</v>
      </c>
      <c r="J231" t="s">
        <v>205</v>
      </c>
      <c r="M231">
        <v>0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ユニフォーム小森元也ICONIC</v>
      </c>
    </row>
    <row r="232" spans="1:20" x14ac:dyDescent="0.35">
      <c r="A232">
        <f>VLOOKUP(Serve[[#This Row],[No用]],SetNo[[No.用]:[vlookup 用]],2,FALSE)</f>
        <v>203</v>
      </c>
      <c r="B232">
        <f>IF(ROW()=2,1,IF(A231&lt;&gt;Serve[[#This Row],[No]],1,B231+1))</f>
        <v>1</v>
      </c>
      <c r="C232" t="s">
        <v>108</v>
      </c>
      <c r="D232" s="1" t="s">
        <v>687</v>
      </c>
      <c r="E232" s="1" t="s">
        <v>90</v>
      </c>
      <c r="F232" s="1" t="s">
        <v>78</v>
      </c>
      <c r="G232" s="1" t="s">
        <v>689</v>
      </c>
      <c r="H232" t="s">
        <v>71</v>
      </c>
      <c r="I232">
        <v>1</v>
      </c>
      <c r="J232" t="s">
        <v>205</v>
      </c>
      <c r="K232" s="1" t="s">
        <v>184</v>
      </c>
      <c r="L232" s="1" t="s">
        <v>162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ユニフォーム大将優ICONIC</v>
      </c>
    </row>
    <row r="233" spans="1:20" x14ac:dyDescent="0.35">
      <c r="A233">
        <f>VLOOKUP(Serve[[#This Row],[No用]],SetNo[[No.用]:[vlookup 用]],2,FALSE)</f>
        <v>204</v>
      </c>
      <c r="B233">
        <f>IF(ROW()=2,1,IF(A232&lt;&gt;Serve[[#This Row],[No]],1,B232+1))</f>
        <v>1</v>
      </c>
      <c r="C233" s="1" t="s">
        <v>935</v>
      </c>
      <c r="D233" s="1" t="s">
        <v>687</v>
      </c>
      <c r="E233" s="1" t="s">
        <v>77</v>
      </c>
      <c r="F233" s="1" t="s">
        <v>78</v>
      </c>
      <c r="G233" s="1" t="s">
        <v>689</v>
      </c>
      <c r="H233" s="1" t="s">
        <v>690</v>
      </c>
      <c r="I233">
        <v>1</v>
      </c>
      <c r="J233" t="s">
        <v>205</v>
      </c>
      <c r="K233" s="1" t="s">
        <v>184</v>
      </c>
      <c r="L233" s="1" t="s">
        <v>162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新年大将優ICONIC</v>
      </c>
    </row>
    <row r="234" spans="1:20" x14ac:dyDescent="0.35">
      <c r="A234">
        <f>VLOOKUP(Serve[[#This Row],[No用]],SetNo[[No.用]:[vlookup 用]],2,FALSE)</f>
        <v>205</v>
      </c>
      <c r="B234">
        <f>IF(ROW()=2,1,IF(A233&lt;&gt;Serve[[#This Row],[No]],1,B233+1))</f>
        <v>1</v>
      </c>
      <c r="C234" t="s">
        <v>108</v>
      </c>
      <c r="D234" s="1" t="s">
        <v>692</v>
      </c>
      <c r="E234" s="1" t="s">
        <v>90</v>
      </c>
      <c r="F234" s="1" t="s">
        <v>78</v>
      </c>
      <c r="G234" s="1" t="s">
        <v>689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36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ユニフォーム沼井和馬ICONIC</v>
      </c>
    </row>
    <row r="235" spans="1:20" x14ac:dyDescent="0.35">
      <c r="A235">
        <f>VLOOKUP(Serve[[#This Row],[No用]],SetNo[[No.用]:[vlookup 用]],2,FALSE)</f>
        <v>205</v>
      </c>
      <c r="B235">
        <f>IF(ROW()=2,1,IF(A234&lt;&gt;Serve[[#This Row],[No]],1,B234+1))</f>
        <v>2</v>
      </c>
      <c r="C235" t="s">
        <v>108</v>
      </c>
      <c r="D235" s="1" t="s">
        <v>692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184</v>
      </c>
      <c r="L235" s="1" t="s">
        <v>225</v>
      </c>
      <c r="M235">
        <v>47</v>
      </c>
      <c r="N235">
        <v>0</v>
      </c>
      <c r="O235">
        <v>57</v>
      </c>
      <c r="P235">
        <v>0</v>
      </c>
      <c r="T235" t="str">
        <f>Serve[[#This Row],[服装]]&amp;Serve[[#This Row],[名前]]&amp;Serve[[#This Row],[レアリティ]]</f>
        <v>ユニフォーム沼井和馬ICONIC</v>
      </c>
    </row>
    <row r="236" spans="1:20" x14ac:dyDescent="0.35">
      <c r="A236">
        <f>VLOOKUP(Serve[[#This Row],[No用]],SetNo[[No.用]:[vlookup 用]],2,FALSE)</f>
        <v>206</v>
      </c>
      <c r="B236">
        <f>IF(ROW()=2,1,IF(A235&lt;&gt;Serve[[#This Row],[No]],1,B235+1))</f>
        <v>1</v>
      </c>
      <c r="C236" t="s">
        <v>108</v>
      </c>
      <c r="D236" s="1" t="s">
        <v>858</v>
      </c>
      <c r="E236" s="1" t="s">
        <v>90</v>
      </c>
      <c r="F236" s="1" t="s">
        <v>78</v>
      </c>
      <c r="G236" s="1" t="s">
        <v>689</v>
      </c>
      <c r="H236" t="s">
        <v>71</v>
      </c>
      <c r="I236">
        <v>1</v>
      </c>
      <c r="J236" t="s">
        <v>205</v>
      </c>
      <c r="K236" s="1" t="s">
        <v>226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ユニフォーム潜尚保ICONIC</v>
      </c>
    </row>
    <row r="237" spans="1:20" x14ac:dyDescent="0.35">
      <c r="A237">
        <f>VLOOKUP(Serve[[#This Row],[No用]],SetNo[[No.用]:[vlookup 用]],2,FALSE)</f>
        <v>207</v>
      </c>
      <c r="B237">
        <f>IF(ROW()=2,1,IF(A236&lt;&gt;Serve[[#This Row],[No]],1,B236+1))</f>
        <v>1</v>
      </c>
      <c r="C237" s="1" t="s">
        <v>1165</v>
      </c>
      <c r="D237" s="1" t="s">
        <v>858</v>
      </c>
      <c r="E237" s="1" t="s">
        <v>77</v>
      </c>
      <c r="F237" s="1" t="s">
        <v>78</v>
      </c>
      <c r="G237" s="1" t="s">
        <v>689</v>
      </c>
      <c r="H237" s="1" t="s">
        <v>690</v>
      </c>
      <c r="I237">
        <v>1</v>
      </c>
      <c r="J237" t="s">
        <v>205</v>
      </c>
      <c r="K237" s="1" t="s">
        <v>226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バーガー潜尚保ICONIC</v>
      </c>
    </row>
    <row r="238" spans="1:20" x14ac:dyDescent="0.35">
      <c r="A238">
        <f>VLOOKUP(Serve[[#This Row],[No用]],SetNo[[No.用]:[vlookup 用]],2,FALSE)</f>
        <v>208</v>
      </c>
      <c r="B238">
        <f>IF(ROW()=2,1,IF(A237&lt;&gt;Serve[[#This Row],[No]],1,B237+1))</f>
        <v>1</v>
      </c>
      <c r="C238" t="s">
        <v>108</v>
      </c>
      <c r="D238" s="1" t="s">
        <v>860</v>
      </c>
      <c r="E238" s="1" t="s">
        <v>90</v>
      </c>
      <c r="F238" s="1" t="s">
        <v>78</v>
      </c>
      <c r="G238" s="1" t="s">
        <v>689</v>
      </c>
      <c r="H238" t="s">
        <v>71</v>
      </c>
      <c r="I238">
        <v>1</v>
      </c>
      <c r="J238" t="s">
        <v>205</v>
      </c>
      <c r="K238" s="1" t="s">
        <v>223</v>
      </c>
      <c r="L238" s="1" t="s">
        <v>173</v>
      </c>
      <c r="M238">
        <v>39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ユニフォーム高千穂恵也ICONIC</v>
      </c>
    </row>
    <row r="239" spans="1:20" x14ac:dyDescent="0.35">
      <c r="A239">
        <f>VLOOKUP(Serve[[#This Row],[No用]],SetNo[[No.用]:[vlookup 用]],2,FALSE)</f>
        <v>208</v>
      </c>
      <c r="B239">
        <f>IF(ROW()=2,1,IF(A238&lt;&gt;Serve[[#This Row],[No]],1,B238+1))</f>
        <v>2</v>
      </c>
      <c r="C239" t="s">
        <v>108</v>
      </c>
      <c r="D239" s="1" t="s">
        <v>860</v>
      </c>
      <c r="E239" s="1" t="s">
        <v>90</v>
      </c>
      <c r="F239" s="1" t="s">
        <v>78</v>
      </c>
      <c r="G239" s="1" t="s">
        <v>689</v>
      </c>
      <c r="H239" t="s">
        <v>71</v>
      </c>
      <c r="I239">
        <v>1</v>
      </c>
      <c r="J239" t="s">
        <v>205</v>
      </c>
      <c r="K239" s="1" t="s">
        <v>223</v>
      </c>
      <c r="L239" s="1" t="s">
        <v>225</v>
      </c>
      <c r="M239">
        <v>44</v>
      </c>
      <c r="N239">
        <v>0</v>
      </c>
      <c r="O239">
        <v>54</v>
      </c>
      <c r="P239">
        <v>0</v>
      </c>
      <c r="T239" t="str">
        <f>Serve[[#This Row],[服装]]&amp;Serve[[#This Row],[名前]]&amp;Serve[[#This Row],[レアリティ]]</f>
        <v>ユニフォーム高千穂恵也ICONIC</v>
      </c>
    </row>
    <row r="240" spans="1:20" x14ac:dyDescent="0.35">
      <c r="A240">
        <f>VLOOKUP(Serve[[#This Row],[No用]],SetNo[[No.用]:[vlookup 用]],2,FALSE)</f>
        <v>209</v>
      </c>
      <c r="B240">
        <f>IF(ROW()=2,1,IF(A239&lt;&gt;Serve[[#This Row],[No]],1,B239+1))</f>
        <v>1</v>
      </c>
      <c r="C240" t="s">
        <v>108</v>
      </c>
      <c r="D240" s="1" t="s">
        <v>862</v>
      </c>
      <c r="E240" s="1" t="s">
        <v>90</v>
      </c>
      <c r="F240" s="1" t="s">
        <v>82</v>
      </c>
      <c r="G240" s="1" t="s">
        <v>689</v>
      </c>
      <c r="H240" t="s">
        <v>71</v>
      </c>
      <c r="I240">
        <v>1</v>
      </c>
      <c r="J240" t="s">
        <v>205</v>
      </c>
      <c r="K240" s="1" t="s">
        <v>194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ユニフォーム広尾倖児ICONIC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2</v>
      </c>
      <c r="C241" t="s">
        <v>108</v>
      </c>
      <c r="D241" s="1" t="s">
        <v>862</v>
      </c>
      <c r="E241" s="1" t="s">
        <v>90</v>
      </c>
      <c r="F241" s="1" t="s">
        <v>82</v>
      </c>
      <c r="G241" s="1" t="s">
        <v>689</v>
      </c>
      <c r="H241" t="s">
        <v>71</v>
      </c>
      <c r="I241">
        <v>1</v>
      </c>
      <c r="J241" t="s">
        <v>205</v>
      </c>
      <c r="K241" s="1" t="s">
        <v>194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Serve[[#This Row],[服装]]&amp;Serve[[#This Row],[名前]]&amp;Serve[[#This Row],[レアリティ]]</f>
        <v>ユニフォーム広尾倖児ICONIC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t="s">
        <v>108</v>
      </c>
      <c r="D242" s="1" t="s">
        <v>864</v>
      </c>
      <c r="E242" s="1" t="s">
        <v>90</v>
      </c>
      <c r="F242" s="1" t="s">
        <v>74</v>
      </c>
      <c r="G242" s="1" t="s">
        <v>689</v>
      </c>
      <c r="H242" t="s">
        <v>71</v>
      </c>
      <c r="I242">
        <v>1</v>
      </c>
      <c r="J242" t="s">
        <v>205</v>
      </c>
      <c r="K242" s="1" t="s">
        <v>223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ユニフォーム先島伊澄ICONIC</v>
      </c>
    </row>
    <row r="243" spans="1:20" x14ac:dyDescent="0.35">
      <c r="A243">
        <f>VLOOKUP(Serve[[#This Row],[No用]],SetNo[[No.用]:[vlookup 用]],2,FALSE)</f>
        <v>211</v>
      </c>
      <c r="B243">
        <f>IF(ROW()=2,1,IF(A242&lt;&gt;Serve[[#This Row],[No]],1,B242+1))</f>
        <v>1</v>
      </c>
      <c r="C243" t="s">
        <v>108</v>
      </c>
      <c r="D243" s="1" t="s">
        <v>866</v>
      </c>
      <c r="E243" s="1" t="s">
        <v>90</v>
      </c>
      <c r="F243" s="1" t="s">
        <v>82</v>
      </c>
      <c r="G243" s="1" t="s">
        <v>689</v>
      </c>
      <c r="H243" t="s">
        <v>71</v>
      </c>
      <c r="I243">
        <v>1</v>
      </c>
      <c r="J243" t="s">
        <v>205</v>
      </c>
      <c r="K243" s="1" t="s">
        <v>226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ユニフォーム背黒晃彦ICONIC</v>
      </c>
    </row>
    <row r="244" spans="1:20" x14ac:dyDescent="0.35">
      <c r="A244">
        <f>VLOOKUP(Serve[[#This Row],[No用]],SetNo[[No.用]:[vlookup 用]],2,FALSE)</f>
        <v>212</v>
      </c>
      <c r="B244">
        <f>IF(ROW()=2,1,IF(A243&lt;&gt;Serve[[#This Row],[No]],1,B243+1))</f>
        <v>1</v>
      </c>
      <c r="C244" t="s">
        <v>108</v>
      </c>
      <c r="D244" s="1" t="s">
        <v>868</v>
      </c>
      <c r="E244" s="1" t="s">
        <v>90</v>
      </c>
      <c r="F244" s="1" t="s">
        <v>80</v>
      </c>
      <c r="G244" s="1" t="s">
        <v>689</v>
      </c>
      <c r="H244" t="s">
        <v>71</v>
      </c>
      <c r="I244">
        <v>1</v>
      </c>
      <c r="J244" t="s">
        <v>205</v>
      </c>
      <c r="M244">
        <v>0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29"/>
  <sheetViews>
    <sheetView topLeftCell="A971" workbookViewId="0">
      <selection activeCell="A1003" sqref="A999:XFD1003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206</v>
      </c>
      <c r="D188" t="s">
        <v>145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t="s">
        <v>117</v>
      </c>
      <c r="D193" t="s">
        <v>145</v>
      </c>
      <c r="E193" t="s">
        <v>23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19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t="s">
        <v>117</v>
      </c>
      <c r="D194" t="s">
        <v>145</v>
      </c>
      <c r="E194" t="s">
        <v>23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19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t="s">
        <v>117</v>
      </c>
      <c r="D195" t="s">
        <v>145</v>
      </c>
      <c r="E195" t="s">
        <v>23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19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t="s">
        <v>117</v>
      </c>
      <c r="D196" t="s">
        <v>145</v>
      </c>
      <c r="E196" t="s">
        <v>23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t="s">
        <v>117</v>
      </c>
      <c r="D197" t="s">
        <v>145</v>
      </c>
      <c r="E197" t="s">
        <v>23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プール掃除東峰旭ICONIC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1049</v>
      </c>
      <c r="D198" s="1" t="s">
        <v>145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162</v>
      </c>
      <c r="M198">
        <v>21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サバゲ東峰旭ICONIC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1049</v>
      </c>
      <c r="D199" s="1" t="s">
        <v>145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サバゲ東峰旭ICONIC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1049</v>
      </c>
      <c r="D200" s="1" t="s">
        <v>145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162</v>
      </c>
      <c r="M200">
        <v>21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サバゲ東峰旭ICONIC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1049</v>
      </c>
      <c r="D201" s="1" t="s">
        <v>145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162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サバゲ東峰旭ICONIC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1049</v>
      </c>
      <c r="D202" s="1" t="s">
        <v>145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165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サバゲ東峰旭ICONIC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1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219</v>
      </c>
      <c r="I203">
        <v>1</v>
      </c>
      <c r="J203" t="s">
        <v>229</v>
      </c>
      <c r="K203" t="s">
        <v>119</v>
      </c>
      <c r="L203" t="s">
        <v>162</v>
      </c>
      <c r="M203">
        <v>21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ユニフォーム東峰旭YELL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2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219</v>
      </c>
      <c r="I204">
        <v>1</v>
      </c>
      <c r="J204" t="s">
        <v>229</v>
      </c>
      <c r="K204" t="s">
        <v>163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ユニフォーム東峰旭YELL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3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219</v>
      </c>
      <c r="I205">
        <v>1</v>
      </c>
      <c r="J205" t="s">
        <v>229</v>
      </c>
      <c r="K205" t="s">
        <v>120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ユニフォーム東峰旭YELL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4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219</v>
      </c>
      <c r="I206">
        <v>1</v>
      </c>
      <c r="J206" t="s">
        <v>229</v>
      </c>
      <c r="K206" t="s">
        <v>164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ユニフォーム東峰旭YELL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5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219</v>
      </c>
      <c r="I207">
        <v>1</v>
      </c>
      <c r="J207" t="s">
        <v>229</v>
      </c>
      <c r="K207" t="s">
        <v>165</v>
      </c>
      <c r="L207" t="s">
        <v>162</v>
      </c>
      <c r="M207">
        <v>32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ユニフォーム東峰旭YELL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1</v>
      </c>
      <c r="C208" t="s">
        <v>206</v>
      </c>
      <c r="D208" t="s">
        <v>146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2</v>
      </c>
      <c r="C209" t="s">
        <v>206</v>
      </c>
      <c r="D209" t="s">
        <v>146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195</v>
      </c>
      <c r="L209" t="s">
        <v>173</v>
      </c>
      <c r="M209">
        <v>33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3</v>
      </c>
      <c r="C210" t="s">
        <v>206</v>
      </c>
      <c r="D210" t="s">
        <v>146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4</v>
      </c>
      <c r="C211" t="s">
        <v>206</v>
      </c>
      <c r="D211" t="s">
        <v>146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173</v>
      </c>
      <c r="M211">
        <v>31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5</v>
      </c>
      <c r="C212" t="s">
        <v>206</v>
      </c>
      <c r="D212" t="s">
        <v>146</v>
      </c>
      <c r="E212" t="s">
        <v>24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ユニフォーム縁下力ICONIC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6</v>
      </c>
      <c r="C213" t="s">
        <v>206</v>
      </c>
      <c r="D213" t="s">
        <v>146</v>
      </c>
      <c r="E213" t="s">
        <v>24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ユニフォーム縁下力ICONIC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7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183</v>
      </c>
      <c r="L214" t="s">
        <v>225</v>
      </c>
      <c r="M214">
        <v>42</v>
      </c>
      <c r="N214">
        <v>0</v>
      </c>
      <c r="O214">
        <v>52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1</v>
      </c>
      <c r="C215" t="s">
        <v>386</v>
      </c>
      <c r="D215" t="s">
        <v>146</v>
      </c>
      <c r="E215" t="s">
        <v>28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119</v>
      </c>
      <c r="L215" t="s">
        <v>173</v>
      </c>
      <c r="M215">
        <v>31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探偵縁下力ICONIC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2</v>
      </c>
      <c r="C216" t="s">
        <v>386</v>
      </c>
      <c r="D216" t="s">
        <v>146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195</v>
      </c>
      <c r="L216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探偵縁下力ICONIC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3</v>
      </c>
      <c r="C217" t="s">
        <v>386</v>
      </c>
      <c r="D217" t="s">
        <v>146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探偵縁下力ICONIC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4</v>
      </c>
      <c r="C218" t="s">
        <v>386</v>
      </c>
      <c r="D218" t="s">
        <v>146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173</v>
      </c>
      <c r="M218">
        <v>31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5</v>
      </c>
      <c r="C219" t="s">
        <v>386</v>
      </c>
      <c r="D219" t="s">
        <v>146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6</v>
      </c>
      <c r="C220" t="s">
        <v>386</v>
      </c>
      <c r="D220" t="s">
        <v>146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s="1" t="s">
        <v>1071</v>
      </c>
      <c r="D221" s="1" t="s">
        <v>146</v>
      </c>
      <c r="E221" s="1" t="s">
        <v>73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119</v>
      </c>
      <c r="L221" s="1" t="s">
        <v>173</v>
      </c>
      <c r="M221">
        <v>33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s="1" t="s">
        <v>1071</v>
      </c>
      <c r="D222" s="1" t="s">
        <v>146</v>
      </c>
      <c r="E222" s="1" t="s">
        <v>73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195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RPG縁下力ICONIC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s="1" t="s">
        <v>1071</v>
      </c>
      <c r="D223" s="1" t="s">
        <v>146</v>
      </c>
      <c r="E223" s="1" t="s">
        <v>73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163</v>
      </c>
      <c r="L223" s="1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s="1" t="s">
        <v>1071</v>
      </c>
      <c r="D224" s="1" t="s">
        <v>146</v>
      </c>
      <c r="E224" s="1" t="s">
        <v>73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120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s="1" t="s">
        <v>1071</v>
      </c>
      <c r="D225" s="1" t="s">
        <v>146</v>
      </c>
      <c r="E225" s="1" t="s">
        <v>73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164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RPG縁下力ICONIC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s="1" t="s">
        <v>1071</v>
      </c>
      <c r="D226" s="1" t="s">
        <v>146</v>
      </c>
      <c r="E226" s="1" t="s">
        <v>73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165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RPG縁下力ICONIC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7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195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1</v>
      </c>
      <c r="C228" t="s">
        <v>206</v>
      </c>
      <c r="D228" t="s">
        <v>147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119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ユニフォーム木下久志ICONIC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2</v>
      </c>
      <c r="C229" t="s">
        <v>206</v>
      </c>
      <c r="D229" t="s">
        <v>147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195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ユニフォーム木下久志ICONIC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3</v>
      </c>
      <c r="C230" t="s">
        <v>206</v>
      </c>
      <c r="D230" t="s">
        <v>147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21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ユニフォーム木下久志ICONIC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4</v>
      </c>
      <c r="C231" t="s">
        <v>206</v>
      </c>
      <c r="D231" t="s">
        <v>147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ユニフォーム木下久志ICONIC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5</v>
      </c>
      <c r="C232" t="s">
        <v>206</v>
      </c>
      <c r="D232" t="s">
        <v>147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ユニフォーム木下久志ICONIC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6</v>
      </c>
      <c r="C233" t="s">
        <v>206</v>
      </c>
      <c r="D233" t="s">
        <v>147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ユニフォーム木下久志ICONIC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148</v>
      </c>
      <c r="E234" t="s">
        <v>24</v>
      </c>
      <c r="F234" t="s">
        <v>26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ユニフォーム成田一仁ICONIC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148</v>
      </c>
      <c r="E235" t="s">
        <v>24</v>
      </c>
      <c r="F235" t="s">
        <v>26</v>
      </c>
      <c r="G235" t="s">
        <v>136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22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ユニフォーム成田一仁ICONIC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148</v>
      </c>
      <c r="E236" t="s">
        <v>24</v>
      </c>
      <c r="F236" t="s">
        <v>26</v>
      </c>
      <c r="G236" t="s">
        <v>136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22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ユニフォーム成田一仁ICONIC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148</v>
      </c>
      <c r="E237" t="s">
        <v>24</v>
      </c>
      <c r="F237" t="s">
        <v>26</v>
      </c>
      <c r="G237" t="s">
        <v>136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ユニフォーム成田一仁ICONIC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148</v>
      </c>
      <c r="E238" t="s">
        <v>24</v>
      </c>
      <c r="F238" t="s">
        <v>26</v>
      </c>
      <c r="G238" t="s">
        <v>136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ユニフォーム成田一仁ICONIC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1</v>
      </c>
      <c r="C239" t="s">
        <v>108</v>
      </c>
      <c r="D239" t="s">
        <v>39</v>
      </c>
      <c r="E239" t="s">
        <v>24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119</v>
      </c>
      <c r="L239" t="s">
        <v>162</v>
      </c>
      <c r="M239">
        <v>26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2</v>
      </c>
      <c r="C240" t="s">
        <v>108</v>
      </c>
      <c r="D240" t="s">
        <v>39</v>
      </c>
      <c r="E240" t="s">
        <v>24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163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3</v>
      </c>
      <c r="C241" t="s">
        <v>108</v>
      </c>
      <c r="D241" t="s">
        <v>39</v>
      </c>
      <c r="E241" t="s">
        <v>24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231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4</v>
      </c>
      <c r="C242" t="s">
        <v>108</v>
      </c>
      <c r="D242" t="s">
        <v>39</v>
      </c>
      <c r="E242" t="s">
        <v>24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ユニフォーム孤爪研磨ICONIC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5</v>
      </c>
      <c r="C243" t="s">
        <v>108</v>
      </c>
      <c r="D243" t="s">
        <v>39</v>
      </c>
      <c r="E243" t="s">
        <v>24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24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ユニフォーム孤爪研磨ICONIC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6</v>
      </c>
      <c r="C244" t="s">
        <v>108</v>
      </c>
      <c r="D244" t="s">
        <v>39</v>
      </c>
      <c r="E244" t="s">
        <v>24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149</v>
      </c>
      <c r="D245" t="s">
        <v>39</v>
      </c>
      <c r="E245" t="s">
        <v>90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制服孤爪研磨ICONIC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149</v>
      </c>
      <c r="D246" t="s">
        <v>39</v>
      </c>
      <c r="E246" t="s">
        <v>90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制服孤爪研磨ICONIC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149</v>
      </c>
      <c r="D247" t="s">
        <v>39</v>
      </c>
      <c r="E247" t="s">
        <v>90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149</v>
      </c>
      <c r="D248" t="s">
        <v>39</v>
      </c>
      <c r="E248" t="s">
        <v>90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149</v>
      </c>
      <c r="D249" t="s">
        <v>39</v>
      </c>
      <c r="E249" t="s">
        <v>90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149</v>
      </c>
      <c r="D250" t="s">
        <v>39</v>
      </c>
      <c r="E250" t="s">
        <v>90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150</v>
      </c>
      <c r="D251" t="s">
        <v>39</v>
      </c>
      <c r="E251" t="s">
        <v>77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夏祭り孤爪研磨ICONIC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150</v>
      </c>
      <c r="D252" t="s">
        <v>39</v>
      </c>
      <c r="E252" t="s">
        <v>77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夏祭り孤爪研磨ICONIC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150</v>
      </c>
      <c r="D253" t="s">
        <v>39</v>
      </c>
      <c r="E253" t="s">
        <v>77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夏祭り孤爪研磨ICONIC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150</v>
      </c>
      <c r="D254" t="s">
        <v>39</v>
      </c>
      <c r="E254" t="s">
        <v>77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178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夏祭り孤爪研磨ICONIC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150</v>
      </c>
      <c r="D255" t="s">
        <v>39</v>
      </c>
      <c r="E255" t="s">
        <v>77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夏祭り孤爪研磨ICONIC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150</v>
      </c>
      <c r="D256" t="s">
        <v>39</v>
      </c>
      <c r="E256" t="s">
        <v>77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夏祭り孤爪研磨ICONIC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s="1" t="s">
        <v>1001</v>
      </c>
      <c r="D257" s="1" t="s">
        <v>39</v>
      </c>
      <c r="E257" s="1" t="s">
        <v>73</v>
      </c>
      <c r="F257" s="1" t="s">
        <v>31</v>
      </c>
      <c r="G257" s="1" t="s">
        <v>27</v>
      </c>
      <c r="H257" s="1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1周年孤爪研磨ICONIC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s="1" t="s">
        <v>1001</v>
      </c>
      <c r="D258" s="1" t="s">
        <v>39</v>
      </c>
      <c r="E258" s="1" t="s">
        <v>73</v>
      </c>
      <c r="F258" s="1" t="s">
        <v>31</v>
      </c>
      <c r="G258" s="1" t="s">
        <v>27</v>
      </c>
      <c r="H258" s="1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1周年孤爪研磨ICONIC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s="1" t="s">
        <v>1001</v>
      </c>
      <c r="D259" s="1" t="s">
        <v>39</v>
      </c>
      <c r="E259" s="1" t="s">
        <v>73</v>
      </c>
      <c r="F259" s="1" t="s">
        <v>31</v>
      </c>
      <c r="G259" s="1" t="s">
        <v>27</v>
      </c>
      <c r="H259" s="1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1周年孤爪研磨ICONIC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s="1" t="s">
        <v>1001</v>
      </c>
      <c r="D260" s="1" t="s">
        <v>39</v>
      </c>
      <c r="E260" s="1" t="s">
        <v>73</v>
      </c>
      <c r="F260" s="1" t="s">
        <v>31</v>
      </c>
      <c r="G260" s="1" t="s">
        <v>27</v>
      </c>
      <c r="H260" s="1" t="s">
        <v>71</v>
      </c>
      <c r="I260">
        <v>1</v>
      </c>
      <c r="J260" t="s">
        <v>229</v>
      </c>
      <c r="K260" t="s">
        <v>120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1周年孤爪研磨ICONIC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s="1" t="s">
        <v>1001</v>
      </c>
      <c r="D261" s="1" t="s">
        <v>39</v>
      </c>
      <c r="E261" s="1" t="s">
        <v>73</v>
      </c>
      <c r="F261" s="1" t="s">
        <v>31</v>
      </c>
      <c r="G261" s="1" t="s">
        <v>27</v>
      </c>
      <c r="H261" s="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1周年孤爪研磨ICONIC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s="1" t="s">
        <v>1001</v>
      </c>
      <c r="D262" s="1" t="s">
        <v>39</v>
      </c>
      <c r="E262" s="1" t="s">
        <v>73</v>
      </c>
      <c r="F262" s="1" t="s">
        <v>31</v>
      </c>
      <c r="G262" s="1" t="s">
        <v>27</v>
      </c>
      <c r="H262" s="1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1周年孤爪研磨ICONIC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108</v>
      </c>
      <c r="D263" t="s">
        <v>40</v>
      </c>
      <c r="E263" t="s">
        <v>23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108</v>
      </c>
      <c r="D264" t="s">
        <v>40</v>
      </c>
      <c r="E264" t="s">
        <v>23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108</v>
      </c>
      <c r="D265" t="s">
        <v>40</v>
      </c>
      <c r="E265" t="s">
        <v>23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108</v>
      </c>
      <c r="D266" t="s">
        <v>40</v>
      </c>
      <c r="E266" t="s">
        <v>23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ユニフォーム黒尾鉄朗ICONIC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108</v>
      </c>
      <c r="D267" t="s">
        <v>40</v>
      </c>
      <c r="E267" t="s">
        <v>23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ユニフォーム黒尾鉄朗ICONIC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t="s">
        <v>108</v>
      </c>
      <c r="D268" t="s">
        <v>40</v>
      </c>
      <c r="E268" t="s">
        <v>23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149</v>
      </c>
      <c r="D269" t="s">
        <v>40</v>
      </c>
      <c r="E269" t="s">
        <v>73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149</v>
      </c>
      <c r="D270" t="s">
        <v>40</v>
      </c>
      <c r="E270" t="s">
        <v>73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149</v>
      </c>
      <c r="D271" t="s">
        <v>40</v>
      </c>
      <c r="E271" t="s">
        <v>73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149</v>
      </c>
      <c r="D272" t="s">
        <v>40</v>
      </c>
      <c r="E272" t="s">
        <v>73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149</v>
      </c>
      <c r="D273" t="s">
        <v>40</v>
      </c>
      <c r="E273" t="s">
        <v>73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149</v>
      </c>
      <c r="D274" t="s">
        <v>40</v>
      </c>
      <c r="E274" t="s">
        <v>73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150</v>
      </c>
      <c r="D275" t="s">
        <v>40</v>
      </c>
      <c r="E275" t="s">
        <v>90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178</v>
      </c>
      <c r="M275">
        <v>28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150</v>
      </c>
      <c r="D276" t="s">
        <v>40</v>
      </c>
      <c r="E276" t="s">
        <v>90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150</v>
      </c>
      <c r="D277" t="s">
        <v>40</v>
      </c>
      <c r="E277" t="s">
        <v>90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150</v>
      </c>
      <c r="D278" t="s">
        <v>40</v>
      </c>
      <c r="E278" t="s">
        <v>90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178</v>
      </c>
      <c r="M278">
        <v>28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150</v>
      </c>
      <c r="D279" t="s">
        <v>40</v>
      </c>
      <c r="E279" t="s">
        <v>90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150</v>
      </c>
      <c r="D280" t="s">
        <v>40</v>
      </c>
      <c r="E280" t="s">
        <v>90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s="1" t="s">
        <v>1001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229</v>
      </c>
      <c r="K281" s="1" t="s">
        <v>119</v>
      </c>
      <c r="L281" s="1" t="s">
        <v>173</v>
      </c>
      <c r="M281">
        <v>31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s="1" t="s">
        <v>1001</v>
      </c>
      <c r="D282" s="1" t="s">
        <v>40</v>
      </c>
      <c r="E282" s="1" t="s">
        <v>77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229</v>
      </c>
      <c r="K282" s="1" t="s">
        <v>163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s="1" t="s">
        <v>1001</v>
      </c>
      <c r="D283" s="1" t="s">
        <v>40</v>
      </c>
      <c r="E283" s="1" t="s">
        <v>77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229</v>
      </c>
      <c r="K283" s="1" t="s">
        <v>231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s="1" t="s">
        <v>1001</v>
      </c>
      <c r="D284" s="1" t="s">
        <v>40</v>
      </c>
      <c r="E284" s="1" t="s">
        <v>77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229</v>
      </c>
      <c r="K284" s="1" t="s">
        <v>120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s="1" t="s">
        <v>1001</v>
      </c>
      <c r="D285" s="1" t="s">
        <v>40</v>
      </c>
      <c r="E285" s="1" t="s">
        <v>77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s="1" t="s">
        <v>1001</v>
      </c>
      <c r="D286" s="1" t="s">
        <v>40</v>
      </c>
      <c r="E286" s="1" t="s">
        <v>77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1周年黒尾鉄朗ICONIC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7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164</v>
      </c>
      <c r="L287" s="1" t="s">
        <v>225</v>
      </c>
      <c r="M287">
        <v>41</v>
      </c>
      <c r="N287">
        <v>0</v>
      </c>
      <c r="O287">
        <v>51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1</v>
      </c>
      <c r="C288" t="s">
        <v>108</v>
      </c>
      <c r="D288" t="s">
        <v>41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2</v>
      </c>
      <c r="C289" t="s">
        <v>108</v>
      </c>
      <c r="D289" t="s">
        <v>41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ユニフォーム灰羽リエーフICONIC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3</v>
      </c>
      <c r="C290" t="s">
        <v>108</v>
      </c>
      <c r="D290" t="s">
        <v>41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ユニフォーム灰羽リエーフICONIC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4</v>
      </c>
      <c r="C291" t="s">
        <v>108</v>
      </c>
      <c r="D291" t="s">
        <v>41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ユニフォーム灰羽リエーフICONIC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5</v>
      </c>
      <c r="C292" t="s">
        <v>108</v>
      </c>
      <c r="D292" t="s">
        <v>41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1</v>
      </c>
      <c r="C293" t="s">
        <v>386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探偵灰羽リエーフICONIC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2</v>
      </c>
      <c r="C294" t="s">
        <v>386</v>
      </c>
      <c r="D294" t="s">
        <v>41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探偵灰羽リエーフICONIC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3</v>
      </c>
      <c r="C295" t="s">
        <v>386</v>
      </c>
      <c r="D295" t="s">
        <v>41</v>
      </c>
      <c r="E295" t="s">
        <v>24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探偵灰羽リエーフICONIC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4</v>
      </c>
      <c r="C296" t="s">
        <v>386</v>
      </c>
      <c r="D296" t="s">
        <v>41</v>
      </c>
      <c r="E296" t="s">
        <v>24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探偵灰羽リエーフICONIC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5</v>
      </c>
      <c r="C297" t="s">
        <v>386</v>
      </c>
      <c r="D297" t="s">
        <v>41</v>
      </c>
      <c r="E297" t="s">
        <v>24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探偵灰羽リエーフICONIC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1122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路地裏灰羽リエーフICONIC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1122</v>
      </c>
      <c r="D299" s="1" t="s">
        <v>41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路地裏灰羽リエーフICONIC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1122</v>
      </c>
      <c r="D300" s="1" t="s">
        <v>41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路地裏灰羽リエーフICONIC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1122</v>
      </c>
      <c r="D301" s="1" t="s">
        <v>41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路地裏灰羽リエーフICONIC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1122</v>
      </c>
      <c r="D302" s="1" t="s">
        <v>41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路地裏灰羽リエーフICONIC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108</v>
      </c>
      <c r="D303" t="s">
        <v>42</v>
      </c>
      <c r="E303" t="s">
        <v>24</v>
      </c>
      <c r="F303" t="s">
        <v>21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108</v>
      </c>
      <c r="D304" t="s">
        <v>42</v>
      </c>
      <c r="E304" t="s">
        <v>24</v>
      </c>
      <c r="F304" t="s">
        <v>21</v>
      </c>
      <c r="G304" t="s">
        <v>27</v>
      </c>
      <c r="H304" t="s">
        <v>71</v>
      </c>
      <c r="I304">
        <v>1</v>
      </c>
      <c r="J304" t="s">
        <v>229</v>
      </c>
      <c r="K304" t="s">
        <v>195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34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108</v>
      </c>
      <c r="D306" t="s">
        <v>42</v>
      </c>
      <c r="E306" t="s">
        <v>24</v>
      </c>
      <c r="F306" t="s">
        <v>21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108</v>
      </c>
      <c r="D307" t="s">
        <v>42</v>
      </c>
      <c r="E307" t="s">
        <v>24</v>
      </c>
      <c r="F307" t="s">
        <v>21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108</v>
      </c>
      <c r="D308" t="s">
        <v>42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183</v>
      </c>
      <c r="L310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173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1001</v>
      </c>
      <c r="D312" s="1" t="s">
        <v>42</v>
      </c>
      <c r="E312" s="1" t="s">
        <v>77</v>
      </c>
      <c r="F312" s="1" t="s">
        <v>21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195</v>
      </c>
      <c r="L312" s="1" t="s">
        <v>173</v>
      </c>
      <c r="M312">
        <v>41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1001</v>
      </c>
      <c r="D313" s="1" t="s">
        <v>42</v>
      </c>
      <c r="E313" s="1" t="s">
        <v>77</v>
      </c>
      <c r="F313" s="1" t="s">
        <v>21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163</v>
      </c>
      <c r="L313" s="1" t="s">
        <v>178</v>
      </c>
      <c r="M313">
        <v>37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1001</v>
      </c>
      <c r="D314" s="1" t="s">
        <v>42</v>
      </c>
      <c r="E314" s="1" t="s">
        <v>77</v>
      </c>
      <c r="F314" s="1" t="s">
        <v>21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231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1001</v>
      </c>
      <c r="D315" s="1" t="s">
        <v>42</v>
      </c>
      <c r="E315" s="1" t="s">
        <v>77</v>
      </c>
      <c r="F315" s="1" t="s">
        <v>21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120</v>
      </c>
      <c r="L315" s="1" t="s">
        <v>173</v>
      </c>
      <c r="M315">
        <v>34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1周年夜久衛輔ICONIC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1001</v>
      </c>
      <c r="D316" s="1" t="s">
        <v>42</v>
      </c>
      <c r="E316" s="1" t="s">
        <v>77</v>
      </c>
      <c r="F316" s="1" t="s">
        <v>21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164</v>
      </c>
      <c r="L316" s="1" t="s">
        <v>162</v>
      </c>
      <c r="M316">
        <v>34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1周年夜久衛輔ICONIC</v>
      </c>
    </row>
    <row r="317" spans="1:20" x14ac:dyDescent="0.35">
      <c r="A317">
        <f>VLOOKUP(Receive[[#This Row],[No用]],SetNo[[No.用]:[vlookup 用]],2,FALSE)</f>
        <v>53</v>
      </c>
      <c r="B317">
        <f>IF(ROW()=2,1,IF(A316&lt;&gt;Receive[[#This Row],[No]],1,B316+1))</f>
        <v>7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165</v>
      </c>
      <c r="L317" s="1" t="s">
        <v>162</v>
      </c>
      <c r="M317">
        <v>32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53</v>
      </c>
      <c r="B318">
        <f>IF(ROW()=2,1,IF(A317&lt;&gt;Receive[[#This Row],[No]],1,B317+1))</f>
        <v>8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53</v>
      </c>
      <c r="B319">
        <f>IF(ROW()=2,1,IF(A318&lt;&gt;Receive[[#This Row],[No]],1,B318+1))</f>
        <v>9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164</v>
      </c>
      <c r="L319" s="1" t="s">
        <v>225</v>
      </c>
      <c r="M319">
        <v>57</v>
      </c>
      <c r="N319">
        <v>0</v>
      </c>
      <c r="O319">
        <v>57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1</v>
      </c>
      <c r="C320" t="s">
        <v>108</v>
      </c>
      <c r="D320" t="s">
        <v>43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119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2</v>
      </c>
      <c r="C321" t="s">
        <v>108</v>
      </c>
      <c r="D321" t="s">
        <v>43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163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3</v>
      </c>
      <c r="C322" t="s">
        <v>108</v>
      </c>
      <c r="D322" t="s">
        <v>43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120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ユニフォーム福永招平ICONIC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4</v>
      </c>
      <c r="C323" t="s">
        <v>108</v>
      </c>
      <c r="D323" t="s">
        <v>43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164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ユニフォーム福永招平ICONIC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5</v>
      </c>
      <c r="C324" t="s">
        <v>108</v>
      </c>
      <c r="D324" t="s">
        <v>43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165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ユニフォーム福永招平ICONIC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1</v>
      </c>
      <c r="C325" s="1" t="s">
        <v>1165</v>
      </c>
      <c r="D325" s="1" t="s">
        <v>43</v>
      </c>
      <c r="E325" s="1" t="s">
        <v>77</v>
      </c>
      <c r="F325" s="1" t="s">
        <v>25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119</v>
      </c>
      <c r="L325" s="1" t="s">
        <v>178</v>
      </c>
      <c r="M325">
        <v>30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バーガー福永招平ICONIC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2</v>
      </c>
      <c r="C326" s="1" t="s">
        <v>1165</v>
      </c>
      <c r="D326" s="1" t="s">
        <v>43</v>
      </c>
      <c r="E326" s="1" t="s">
        <v>77</v>
      </c>
      <c r="F326" s="1" t="s">
        <v>25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163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バーガー福永招平ICONIC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3</v>
      </c>
      <c r="C327" s="1" t="s">
        <v>1165</v>
      </c>
      <c r="D327" s="1" t="s">
        <v>43</v>
      </c>
      <c r="E327" s="1" t="s">
        <v>77</v>
      </c>
      <c r="F327" s="1" t="s">
        <v>25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120</v>
      </c>
      <c r="L327" s="1" t="s">
        <v>178</v>
      </c>
      <c r="M327">
        <v>30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バーガー福永招平ICONIC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4</v>
      </c>
      <c r="C328" s="1" t="s">
        <v>1165</v>
      </c>
      <c r="D328" s="1" t="s">
        <v>43</v>
      </c>
      <c r="E328" s="1" t="s">
        <v>77</v>
      </c>
      <c r="F328" s="1" t="s">
        <v>25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バーガー福永招平ICONIC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5</v>
      </c>
      <c r="C329" s="1" t="s">
        <v>1165</v>
      </c>
      <c r="D329" s="1" t="s">
        <v>43</v>
      </c>
      <c r="E329" s="1" t="s">
        <v>77</v>
      </c>
      <c r="F329" s="1" t="s">
        <v>25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165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バーガー福永招平ICONIC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6</v>
      </c>
      <c r="C330" s="1" t="s">
        <v>1165</v>
      </c>
      <c r="D330" s="1" t="s">
        <v>43</v>
      </c>
      <c r="E330" s="1" t="s">
        <v>77</v>
      </c>
      <c r="F330" s="1" t="s">
        <v>25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s="1" t="s">
        <v>225</v>
      </c>
      <c r="M330">
        <v>43</v>
      </c>
      <c r="N330">
        <v>0</v>
      </c>
      <c r="O330">
        <v>53</v>
      </c>
      <c r="P330">
        <v>0</v>
      </c>
      <c r="T330" t="str">
        <f>Receive[[#This Row],[服装]]&amp;Receive[[#This Row],[名前]]&amp;Receive[[#This Row],[レアリティ]]</f>
        <v>バーガー福永招平ICONIC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t="s">
        <v>108</v>
      </c>
      <c r="D331" t="s">
        <v>44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119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t="s">
        <v>108</v>
      </c>
      <c r="D332" t="s">
        <v>44</v>
      </c>
      <c r="E332" t="s">
        <v>24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t="s">
        <v>108</v>
      </c>
      <c r="D333" t="s">
        <v>44</v>
      </c>
      <c r="E333" t="s">
        <v>24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t="s">
        <v>108</v>
      </c>
      <c r="D334" t="s">
        <v>44</v>
      </c>
      <c r="E334" t="s">
        <v>24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ユニフォーム犬岡走ICONIC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t="s">
        <v>108</v>
      </c>
      <c r="D335" t="s">
        <v>44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ユニフォーム犬岡走ICONIC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t="s">
        <v>108</v>
      </c>
      <c r="D336" t="s">
        <v>44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ユニフォーム犬岡走ICONIC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s="1" t="s">
        <v>935</v>
      </c>
      <c r="D337" t="s">
        <v>44</v>
      </c>
      <c r="E337" s="1" t="s">
        <v>77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s="1" t="s">
        <v>935</v>
      </c>
      <c r="D338" t="s">
        <v>44</v>
      </c>
      <c r="E338" s="1" t="s">
        <v>77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s="1" t="s">
        <v>935</v>
      </c>
      <c r="D339" t="s">
        <v>44</v>
      </c>
      <c r="E339" s="1" t="s">
        <v>77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s="1" t="s">
        <v>935</v>
      </c>
      <c r="D340" t="s">
        <v>44</v>
      </c>
      <c r="E340" s="1" t="s">
        <v>77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s="1" t="s">
        <v>935</v>
      </c>
      <c r="D341" t="s">
        <v>44</v>
      </c>
      <c r="E341" s="1" t="s">
        <v>77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s="1" t="s">
        <v>935</v>
      </c>
      <c r="D342" t="s">
        <v>44</v>
      </c>
      <c r="E342" s="1" t="s">
        <v>77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t="s">
        <v>108</v>
      </c>
      <c r="D343" t="s">
        <v>45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t="s">
        <v>108</v>
      </c>
      <c r="D344" t="s">
        <v>45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t="s">
        <v>108</v>
      </c>
      <c r="D345" t="s">
        <v>45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t="s">
        <v>108</v>
      </c>
      <c r="D346" t="s">
        <v>45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ユニフォーム山本猛虎ICONIC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t="s">
        <v>108</v>
      </c>
      <c r="D347" t="s">
        <v>45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ユニフォーム山本猛虎ICONIC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s="1" t="s">
        <v>935</v>
      </c>
      <c r="D348" t="s">
        <v>45</v>
      </c>
      <c r="E348" s="1" t="s">
        <v>77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s="1" t="s">
        <v>119</v>
      </c>
      <c r="L348" s="1" t="s">
        <v>178</v>
      </c>
      <c r="M348">
        <v>30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新年山本猛虎ICONIC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s="1" t="s">
        <v>935</v>
      </c>
      <c r="D349" t="s">
        <v>45</v>
      </c>
      <c r="E349" s="1" t="s">
        <v>77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s="1" t="s">
        <v>195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新年山本猛虎ICONIC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s="1" t="s">
        <v>935</v>
      </c>
      <c r="D350" t="s">
        <v>45</v>
      </c>
      <c r="E350" s="1" t="s">
        <v>77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s="1" t="s">
        <v>163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新年山本猛虎ICONIC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s="1" t="s">
        <v>935</v>
      </c>
      <c r="D351" t="s">
        <v>45</v>
      </c>
      <c r="E351" s="1" t="s">
        <v>77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s="1" t="s">
        <v>120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新年山本猛虎ICONIC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s="1" t="s">
        <v>935</v>
      </c>
      <c r="D352" t="s">
        <v>45</v>
      </c>
      <c r="E352" s="1" t="s">
        <v>77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新年山本猛虎ICONIC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s="1" t="s">
        <v>935</v>
      </c>
      <c r="D353" t="s">
        <v>45</v>
      </c>
      <c r="E353" s="1" t="s">
        <v>77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新年山本猛虎ICONIC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7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46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ユニフォーム芝山優生ICONIC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46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44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ユニフォーム芝山優生ICONIC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46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ユニフォーム芝山優生ICONIC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46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30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ユニフォーム芝山優生ICONIC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46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ユニフォーム芝山優生ICONIC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46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ユニフォーム芝山優生ICONIC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7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8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45</v>
      </c>
      <c r="N362">
        <v>0</v>
      </c>
      <c r="O362">
        <v>55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108</v>
      </c>
      <c r="D363" t="s">
        <v>47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108</v>
      </c>
      <c r="D364" t="s">
        <v>47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108</v>
      </c>
      <c r="D365" t="s">
        <v>47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231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108</v>
      </c>
      <c r="D366" t="s">
        <v>47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120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108</v>
      </c>
      <c r="D367" t="s">
        <v>47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164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ユニフォーム海信之ICONIC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t="s">
        <v>108</v>
      </c>
      <c r="D368" t="s">
        <v>47</v>
      </c>
      <c r="E368" t="s">
        <v>24</v>
      </c>
      <c r="F368" t="s">
        <v>25</v>
      </c>
      <c r="G368" t="s">
        <v>27</v>
      </c>
      <c r="H368" t="s">
        <v>71</v>
      </c>
      <c r="I368">
        <v>1</v>
      </c>
      <c r="J368" t="s">
        <v>229</v>
      </c>
      <c r="K368" t="s">
        <v>165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ユニフォーム海信之ICONIC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90</v>
      </c>
      <c r="F369" t="s">
        <v>78</v>
      </c>
      <c r="G369" t="s">
        <v>27</v>
      </c>
      <c r="H369" t="s">
        <v>151</v>
      </c>
      <c r="I369">
        <v>1</v>
      </c>
      <c r="J369" t="s">
        <v>229</v>
      </c>
      <c r="K369" t="s">
        <v>119</v>
      </c>
      <c r="L369" t="s">
        <v>173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ユニフォーム海信之YELL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90</v>
      </c>
      <c r="F370" t="s">
        <v>78</v>
      </c>
      <c r="G370" t="s">
        <v>27</v>
      </c>
      <c r="H370" t="s">
        <v>151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ユニフォーム海信之YELL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90</v>
      </c>
      <c r="F371" t="s">
        <v>78</v>
      </c>
      <c r="G371" t="s">
        <v>27</v>
      </c>
      <c r="H371" t="s">
        <v>151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ユニフォーム海信之YELL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90</v>
      </c>
      <c r="F372" t="s">
        <v>78</v>
      </c>
      <c r="G372" t="s">
        <v>27</v>
      </c>
      <c r="H372" t="s">
        <v>151</v>
      </c>
      <c r="I372">
        <v>1</v>
      </c>
      <c r="J372" t="s">
        <v>229</v>
      </c>
      <c r="K372" t="s">
        <v>120</v>
      </c>
      <c r="L372" t="s">
        <v>173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ユニフォーム海信之YELL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90</v>
      </c>
      <c r="F373" t="s">
        <v>78</v>
      </c>
      <c r="G373" t="s">
        <v>27</v>
      </c>
      <c r="H373" t="s">
        <v>151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ユニフォーム海信之YELL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90</v>
      </c>
      <c r="F374" t="s">
        <v>78</v>
      </c>
      <c r="G374" t="s">
        <v>27</v>
      </c>
      <c r="H374" t="s">
        <v>151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ユニフォーム海信之YELL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206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206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195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206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206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ユニフォーム青根高伸ICONIC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206</v>
      </c>
      <c r="D379" t="s">
        <v>48</v>
      </c>
      <c r="E379" t="s">
        <v>23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ユニフォーム青根高伸ICONIC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206</v>
      </c>
      <c r="D380" t="s">
        <v>48</v>
      </c>
      <c r="E380" t="s">
        <v>23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149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149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149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149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149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149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117</v>
      </c>
      <c r="D387" t="s">
        <v>48</v>
      </c>
      <c r="E387" t="s">
        <v>24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117</v>
      </c>
      <c r="D388" t="s">
        <v>48</v>
      </c>
      <c r="E388" t="s">
        <v>24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117</v>
      </c>
      <c r="D389" t="s">
        <v>48</v>
      </c>
      <c r="E389" t="s">
        <v>24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117</v>
      </c>
      <c r="D390" t="s">
        <v>48</v>
      </c>
      <c r="E390" t="s">
        <v>24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117</v>
      </c>
      <c r="D391" t="s">
        <v>48</v>
      </c>
      <c r="E391" t="s">
        <v>24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117</v>
      </c>
      <c r="D392" t="s">
        <v>48</v>
      </c>
      <c r="E392" t="s">
        <v>24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206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206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206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206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ユニフォーム二口堅治ICONIC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206</v>
      </c>
      <c r="D397" t="s">
        <v>50</v>
      </c>
      <c r="E397" t="s">
        <v>28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ユニフォーム二口堅治ICONIC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206</v>
      </c>
      <c r="D398" t="s">
        <v>50</v>
      </c>
      <c r="E398" t="s">
        <v>28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149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149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149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149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149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149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117</v>
      </c>
      <c r="D405" t="s">
        <v>50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プール掃除二口堅治ICONIC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117</v>
      </c>
      <c r="D406" t="s">
        <v>50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プール掃除二口堅治ICONIC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117</v>
      </c>
      <c r="D407" t="s">
        <v>50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プール掃除二口堅治ICONIC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117</v>
      </c>
      <c r="D408" t="s">
        <v>50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プール掃除二口堅治ICONIC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117</v>
      </c>
      <c r="D409" t="s">
        <v>50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120</v>
      </c>
      <c r="L409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プール掃除二口堅治ICONIC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117</v>
      </c>
      <c r="D410" t="s">
        <v>50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プール掃除二口堅治ICONIC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7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8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183</v>
      </c>
      <c r="L412" t="s">
        <v>225</v>
      </c>
      <c r="M412">
        <v>43</v>
      </c>
      <c r="N412">
        <v>0</v>
      </c>
      <c r="O412">
        <v>53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1122</v>
      </c>
      <c r="D413" s="1" t="s">
        <v>50</v>
      </c>
      <c r="E413" s="1" t="s">
        <v>90</v>
      </c>
      <c r="F413" s="1" t="s">
        <v>25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路地裏二口堅治ICONIC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1122</v>
      </c>
      <c r="D414" s="1" t="s">
        <v>50</v>
      </c>
      <c r="E414" s="1" t="s">
        <v>90</v>
      </c>
      <c r="F414" s="1" t="s">
        <v>25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195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路地裏二口堅治ICONIC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1122</v>
      </c>
      <c r="D415" s="1" t="s">
        <v>50</v>
      </c>
      <c r="E415" s="1" t="s">
        <v>90</v>
      </c>
      <c r="F415" s="1" t="s">
        <v>25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231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路地裏二口堅治ICONIC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1122</v>
      </c>
      <c r="D416" s="1" t="s">
        <v>50</v>
      </c>
      <c r="E416" s="1" t="s">
        <v>90</v>
      </c>
      <c r="F416" s="1" t="s">
        <v>25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路地裏二口堅治ICONIC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1122</v>
      </c>
      <c r="D417" s="1" t="s">
        <v>50</v>
      </c>
      <c r="E417" s="1" t="s">
        <v>90</v>
      </c>
      <c r="F417" s="1" t="s">
        <v>25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路地裏二口堅治ICONIC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6</v>
      </c>
      <c r="C418" s="1" t="s">
        <v>1122</v>
      </c>
      <c r="D418" s="1" t="s">
        <v>50</v>
      </c>
      <c r="E418" s="1" t="s">
        <v>90</v>
      </c>
      <c r="F418" s="1" t="s">
        <v>25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路地裏二口堅治ICONIC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206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206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206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163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206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ユニフォーム黄金川貫至ICONIC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206</v>
      </c>
      <c r="D423" t="s">
        <v>384</v>
      </c>
      <c r="E423" t="s">
        <v>23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ユニフォーム黄金川貫至ICONIC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t="s">
        <v>206</v>
      </c>
      <c r="D424" t="s">
        <v>384</v>
      </c>
      <c r="E424" t="s">
        <v>23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149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149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149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149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149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149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s="1" t="s">
        <v>702</v>
      </c>
      <c r="D431" t="s">
        <v>384</v>
      </c>
      <c r="E431" s="1" t="s">
        <v>90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s="1" t="s">
        <v>702</v>
      </c>
      <c r="D432" t="s">
        <v>384</v>
      </c>
      <c r="E432" s="1" t="s">
        <v>90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s="1" t="s">
        <v>702</v>
      </c>
      <c r="D433" t="s">
        <v>384</v>
      </c>
      <c r="E433" s="1" t="s">
        <v>90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s="1" t="s">
        <v>702</v>
      </c>
      <c r="D434" t="s">
        <v>384</v>
      </c>
      <c r="E434" s="1" t="s">
        <v>90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s="1" t="s">
        <v>702</v>
      </c>
      <c r="D435" t="s">
        <v>384</v>
      </c>
      <c r="E435" s="1" t="s">
        <v>90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s="1" t="s">
        <v>702</v>
      </c>
      <c r="D436" t="s">
        <v>384</v>
      </c>
      <c r="E436" s="1" t="s">
        <v>90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t="s">
        <v>206</v>
      </c>
      <c r="D437" t="s">
        <v>51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ユニフォーム小原豊ICONIC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t="s">
        <v>206</v>
      </c>
      <c r="D438" t="s">
        <v>51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ユニフォーム小原豊ICONIC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t="s">
        <v>206</v>
      </c>
      <c r="D439" t="s">
        <v>51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ユニフォーム小原豊ICONIC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t="s">
        <v>206</v>
      </c>
      <c r="D440" t="s">
        <v>51</v>
      </c>
      <c r="E440" t="s">
        <v>23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ユニフォーム小原豊ICONIC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t="s">
        <v>206</v>
      </c>
      <c r="D441" t="s">
        <v>51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ユニフォーム小原豊ICONIC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52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ユニフォーム女川太郎ICONIC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52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ユニフォーム女川太郎ICONIC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52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ユニフォーム女川太郎ICONIC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52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ユニフォーム女川太郎ICONIC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52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ユニフォーム女川太郎ICONIC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52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ユニフォーム女川太郎ICONIC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53</v>
      </c>
      <c r="E448" t="s">
        <v>23</v>
      </c>
      <c r="F448" t="s">
        <v>21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ユニフォーム作並浩輔ICONIC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53</v>
      </c>
      <c r="E449" t="s">
        <v>23</v>
      </c>
      <c r="F449" t="s">
        <v>21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ユニフォーム作並浩輔ICONIC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53</v>
      </c>
      <c r="E450" t="s">
        <v>23</v>
      </c>
      <c r="F450" t="s">
        <v>21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ユニフォーム作並浩輔ICONIC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53</v>
      </c>
      <c r="E451" t="s">
        <v>23</v>
      </c>
      <c r="F451" t="s">
        <v>21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ユニフォーム作並浩輔ICONIC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53</v>
      </c>
      <c r="E452" t="s">
        <v>23</v>
      </c>
      <c r="F452" t="s">
        <v>21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ユニフォーム作並浩輔ICONIC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53</v>
      </c>
      <c r="E453" t="s">
        <v>23</v>
      </c>
      <c r="F453" t="s">
        <v>21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ユニフォーム作並浩輔ICONIC</v>
      </c>
    </row>
    <row r="454" spans="1:20" x14ac:dyDescent="0.35">
      <c r="A454">
        <f>VLOOKUP(Receive[[#This Row],[No用]],SetNo[[No.用]:[vlookup 用]],2,FALSE)</f>
        <v>75</v>
      </c>
      <c r="B454">
        <f>IF(ROW()=2,1,IF(A453&lt;&gt;Receive[[#This Row],[No]],1,B453+1))</f>
        <v>7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183</v>
      </c>
      <c r="L454" s="1" t="s">
        <v>225</v>
      </c>
      <c r="M454">
        <v>46</v>
      </c>
      <c r="N454">
        <v>0</v>
      </c>
      <c r="O454">
        <v>56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1</v>
      </c>
      <c r="C455" t="s">
        <v>206</v>
      </c>
      <c r="D455" t="s">
        <v>54</v>
      </c>
      <c r="E455" t="s">
        <v>23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ユニフォーム吹上仁悟ICONIC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2</v>
      </c>
      <c r="C456" t="s">
        <v>206</v>
      </c>
      <c r="D456" t="s">
        <v>54</v>
      </c>
      <c r="E456" t="s">
        <v>23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ユニフォーム吹上仁悟ICONIC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3</v>
      </c>
      <c r="C457" t="s">
        <v>206</v>
      </c>
      <c r="D457" t="s">
        <v>54</v>
      </c>
      <c r="E457" t="s">
        <v>23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ユニフォーム吹上仁悟ICONIC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4</v>
      </c>
      <c r="C458" t="s">
        <v>206</v>
      </c>
      <c r="D458" t="s">
        <v>54</v>
      </c>
      <c r="E458" t="s">
        <v>23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ユニフォーム吹上仁悟ICONIC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5</v>
      </c>
      <c r="C459" t="s">
        <v>206</v>
      </c>
      <c r="D459" t="s">
        <v>54</v>
      </c>
      <c r="E459" t="s">
        <v>23</v>
      </c>
      <c r="F459" t="s">
        <v>26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ユニフォーム吹上仁悟ICONIC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s="1" t="s">
        <v>108</v>
      </c>
      <c r="D460" s="1" t="s">
        <v>1022</v>
      </c>
      <c r="E460" s="1" t="s">
        <v>23</v>
      </c>
      <c r="F460" s="1" t="s">
        <v>74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ユニフォーム茂庭要ICONIC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s="1" t="s">
        <v>108</v>
      </c>
      <c r="D461" s="1" t="s">
        <v>1022</v>
      </c>
      <c r="E461" s="1" t="s">
        <v>23</v>
      </c>
      <c r="F461" s="1" t="s">
        <v>74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120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ユニフォーム茂庭要ICONIC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s="1" t="s">
        <v>108</v>
      </c>
      <c r="D462" s="1" t="s">
        <v>1022</v>
      </c>
      <c r="E462" s="1" t="s">
        <v>23</v>
      </c>
      <c r="F462" s="1" t="s">
        <v>74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164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ユニフォーム茂庭要ICONIC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s="1" t="s">
        <v>108</v>
      </c>
      <c r="D463" s="1" t="s">
        <v>1022</v>
      </c>
      <c r="E463" s="1" t="s">
        <v>23</v>
      </c>
      <c r="F463" s="1" t="s">
        <v>74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165</v>
      </c>
      <c r="L463" s="1" t="s">
        <v>162</v>
      </c>
      <c r="M463">
        <v>13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ユニフォーム茂庭要ICONIC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1</v>
      </c>
      <c r="C464" s="1" t="s">
        <v>108</v>
      </c>
      <c r="D464" s="1" t="s">
        <v>1024</v>
      </c>
      <c r="E464" s="1" t="s">
        <v>23</v>
      </c>
      <c r="F464" s="1" t="s">
        <v>82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ユニフォーム鎌先靖志ICONIC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2</v>
      </c>
      <c r="C465" s="1" t="s">
        <v>108</v>
      </c>
      <c r="D465" s="1" t="s">
        <v>1024</v>
      </c>
      <c r="E465" s="1" t="s">
        <v>23</v>
      </c>
      <c r="F465" s="1" t="s">
        <v>82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ユニフォーム鎌先靖志ICONIC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3</v>
      </c>
      <c r="C466" s="1" t="s">
        <v>108</v>
      </c>
      <c r="D466" s="1" t="s">
        <v>1024</v>
      </c>
      <c r="E466" s="1" t="s">
        <v>23</v>
      </c>
      <c r="F466" s="1" t="s">
        <v>82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ユニフォーム鎌先靖志ICONIC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4</v>
      </c>
      <c r="C467" s="1" t="s">
        <v>108</v>
      </c>
      <c r="D467" s="1" t="s">
        <v>1024</v>
      </c>
      <c r="E467" s="1" t="s">
        <v>23</v>
      </c>
      <c r="F467" s="1" t="s">
        <v>82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ユニフォーム鎌先靖志ICONIC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5</v>
      </c>
      <c r="C468" s="1" t="s">
        <v>108</v>
      </c>
      <c r="D468" s="1" t="s">
        <v>1024</v>
      </c>
      <c r="E468" s="1" t="s">
        <v>23</v>
      </c>
      <c r="F468" s="1" t="s">
        <v>82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ユニフォーム鎌先靖志ICONIC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1</v>
      </c>
      <c r="C469" s="1" t="s">
        <v>108</v>
      </c>
      <c r="D469" s="1" t="s">
        <v>1026</v>
      </c>
      <c r="E469" s="1" t="s">
        <v>23</v>
      </c>
      <c r="F469" s="1" t="s">
        <v>78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ユニフォーム笹谷武仁ICONIC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2</v>
      </c>
      <c r="C470" s="1" t="s">
        <v>108</v>
      </c>
      <c r="D470" s="1" t="s">
        <v>1026</v>
      </c>
      <c r="E470" s="1" t="s">
        <v>23</v>
      </c>
      <c r="F470" s="1" t="s">
        <v>78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ユニフォーム笹谷武仁ICONIC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3</v>
      </c>
      <c r="C471" s="1" t="s">
        <v>108</v>
      </c>
      <c r="D471" s="1" t="s">
        <v>1026</v>
      </c>
      <c r="E471" s="1" t="s">
        <v>23</v>
      </c>
      <c r="F471" s="1" t="s">
        <v>78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ユニフォーム笹谷武仁ICONIC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4</v>
      </c>
      <c r="C472" s="1" t="s">
        <v>108</v>
      </c>
      <c r="D472" s="1" t="s">
        <v>1026</v>
      </c>
      <c r="E472" s="1" t="s">
        <v>23</v>
      </c>
      <c r="F472" s="1" t="s">
        <v>78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ユニフォーム笹谷武仁ICONIC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5</v>
      </c>
      <c r="C473" s="1" t="s">
        <v>108</v>
      </c>
      <c r="D473" s="1" t="s">
        <v>1026</v>
      </c>
      <c r="E473" s="1" t="s">
        <v>23</v>
      </c>
      <c r="F473" s="1" t="s">
        <v>78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ユニフォーム笹谷武仁ICONIC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1</v>
      </c>
      <c r="C474" t="s">
        <v>206</v>
      </c>
      <c r="D474" t="s">
        <v>30</v>
      </c>
      <c r="E474" t="s">
        <v>23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2</v>
      </c>
      <c r="C475" t="s">
        <v>206</v>
      </c>
      <c r="D475" t="s">
        <v>30</v>
      </c>
      <c r="E475" t="s">
        <v>23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3</v>
      </c>
      <c r="C476" t="s">
        <v>206</v>
      </c>
      <c r="D476" t="s">
        <v>30</v>
      </c>
      <c r="E476" t="s">
        <v>23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231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4</v>
      </c>
      <c r="C477" t="s">
        <v>206</v>
      </c>
      <c r="D477" t="s">
        <v>30</v>
      </c>
      <c r="E477" t="s">
        <v>23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ユニフォーム及川徹ICONIC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5</v>
      </c>
      <c r="C478" t="s">
        <v>206</v>
      </c>
      <c r="D478" t="s">
        <v>30</v>
      </c>
      <c r="E478" t="s">
        <v>23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ユニフォーム及川徹ICONIC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6</v>
      </c>
      <c r="C479" t="s">
        <v>206</v>
      </c>
      <c r="D479" t="s">
        <v>30</v>
      </c>
      <c r="E479" t="s">
        <v>23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117</v>
      </c>
      <c r="D480" t="s">
        <v>30</v>
      </c>
      <c r="E480" t="s">
        <v>24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117</v>
      </c>
      <c r="D481" t="s">
        <v>30</v>
      </c>
      <c r="E481" t="s">
        <v>24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117</v>
      </c>
      <c r="D482" t="s">
        <v>30</v>
      </c>
      <c r="E482" t="s">
        <v>24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117</v>
      </c>
      <c r="D483" t="s">
        <v>30</v>
      </c>
      <c r="E483" t="s">
        <v>24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117</v>
      </c>
      <c r="D484" t="s">
        <v>30</v>
      </c>
      <c r="E484" t="s">
        <v>24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117</v>
      </c>
      <c r="D485" t="s">
        <v>30</v>
      </c>
      <c r="E485" t="s">
        <v>24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s="1" t="s">
        <v>915</v>
      </c>
      <c r="D486" t="s">
        <v>30</v>
      </c>
      <c r="E486" s="1" t="s">
        <v>77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Xmas及川徹ICONIC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s="1" t="s">
        <v>915</v>
      </c>
      <c r="D487" t="s">
        <v>30</v>
      </c>
      <c r="E487" s="1" t="s">
        <v>77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Xmas及川徹ICONIC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s="1" t="s">
        <v>915</v>
      </c>
      <c r="D488" t="s">
        <v>30</v>
      </c>
      <c r="E488" s="1" t="s">
        <v>77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Xmas及川徹ICONIC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s="1" t="s">
        <v>915</v>
      </c>
      <c r="D489" t="s">
        <v>30</v>
      </c>
      <c r="E489" s="1" t="s">
        <v>77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Xmas及川徹ICONIC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s="1" t="s">
        <v>915</v>
      </c>
      <c r="D490" t="s">
        <v>30</v>
      </c>
      <c r="E490" s="1" t="s">
        <v>77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Xmas及川徹ICONIC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s="1" t="s">
        <v>915</v>
      </c>
      <c r="D491" t="s">
        <v>30</v>
      </c>
      <c r="E491" s="1" t="s">
        <v>77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Xmas及川徹ICONIC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149</v>
      </c>
      <c r="D492" t="s">
        <v>30</v>
      </c>
      <c r="E492" s="1" t="s">
        <v>73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149</v>
      </c>
      <c r="D493" t="s">
        <v>30</v>
      </c>
      <c r="E493" s="1" t="s">
        <v>73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149</v>
      </c>
      <c r="D494" t="s">
        <v>30</v>
      </c>
      <c r="E494" s="1" t="s">
        <v>73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149</v>
      </c>
      <c r="D495" t="s">
        <v>30</v>
      </c>
      <c r="E495" s="1" t="s">
        <v>73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149</v>
      </c>
      <c r="D496" t="s">
        <v>30</v>
      </c>
      <c r="E496" s="1" t="s">
        <v>73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149</v>
      </c>
      <c r="D497" t="s">
        <v>30</v>
      </c>
      <c r="E497" s="1" t="s">
        <v>73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1122</v>
      </c>
      <c r="D498" s="1" t="s">
        <v>30</v>
      </c>
      <c r="E498" s="1" t="s">
        <v>90</v>
      </c>
      <c r="F498" s="1" t="s">
        <v>31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119</v>
      </c>
      <c r="L498" s="1" t="s">
        <v>178</v>
      </c>
      <c r="M498">
        <v>32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路地裏及川徹ICONIC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1122</v>
      </c>
      <c r="D499" s="1" t="s">
        <v>30</v>
      </c>
      <c r="E499" s="1" t="s">
        <v>90</v>
      </c>
      <c r="F499" s="1" t="s">
        <v>31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路地裏及川徹ICONIC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1122</v>
      </c>
      <c r="D500" s="1" t="s">
        <v>30</v>
      </c>
      <c r="E500" s="1" t="s">
        <v>90</v>
      </c>
      <c r="F500" s="1" t="s">
        <v>31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路地裏及川徹ICONIC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1122</v>
      </c>
      <c r="D501" s="1" t="s">
        <v>30</v>
      </c>
      <c r="E501" s="1" t="s">
        <v>90</v>
      </c>
      <c r="F501" s="1" t="s">
        <v>31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路地裏及川徹ICONIC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1122</v>
      </c>
      <c r="D502" s="1" t="s">
        <v>30</v>
      </c>
      <c r="E502" s="1" t="s">
        <v>90</v>
      </c>
      <c r="F502" s="1" t="s">
        <v>31</v>
      </c>
      <c r="G502" s="1" t="s">
        <v>20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路地裏及川徹ICONIC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1122</v>
      </c>
      <c r="D503" s="1" t="s">
        <v>30</v>
      </c>
      <c r="E503" s="1" t="s">
        <v>90</v>
      </c>
      <c r="F503" s="1" t="s">
        <v>31</v>
      </c>
      <c r="G503" s="1" t="s">
        <v>20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路地裏及川徹ICONIC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t="s">
        <v>206</v>
      </c>
      <c r="D504" t="s">
        <v>32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t="s">
        <v>206</v>
      </c>
      <c r="D505" t="s">
        <v>32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ユニフォーム岩泉一ICONIC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t="s">
        <v>206</v>
      </c>
      <c r="D506" t="s">
        <v>32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ユニフォーム岩泉一ICONIC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t="s">
        <v>206</v>
      </c>
      <c r="D507" t="s">
        <v>32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ユニフォーム岩泉一ICONIC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t="s">
        <v>206</v>
      </c>
      <c r="D508" t="s">
        <v>32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1</v>
      </c>
      <c r="C509" t="s">
        <v>117</v>
      </c>
      <c r="D509" t="s">
        <v>32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プール掃除岩泉一ICONIC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2</v>
      </c>
      <c r="C510" t="s">
        <v>117</v>
      </c>
      <c r="D510" t="s">
        <v>32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プール掃除岩泉一ICONIC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3</v>
      </c>
      <c r="C511" t="s">
        <v>117</v>
      </c>
      <c r="D511" t="s">
        <v>32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プール掃除岩泉一ICONIC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4</v>
      </c>
      <c r="C512" t="s">
        <v>117</v>
      </c>
      <c r="D512" t="s">
        <v>32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プール掃除岩泉一ICONIC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5</v>
      </c>
      <c r="C513" t="s">
        <v>117</v>
      </c>
      <c r="D513" t="s">
        <v>32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プール掃除岩泉一ICONIC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s="1" t="s">
        <v>149</v>
      </c>
      <c r="D514" t="s">
        <v>32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956</v>
      </c>
      <c r="M514">
        <v>30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s="1" t="s">
        <v>149</v>
      </c>
      <c r="D515" t="s">
        <v>32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s="1" t="s">
        <v>149</v>
      </c>
      <c r="D516" t="s">
        <v>32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s="1" t="s">
        <v>149</v>
      </c>
      <c r="D517" t="s">
        <v>32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s="1" t="s">
        <v>149</v>
      </c>
      <c r="D518" t="s">
        <v>32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制服岩泉一ICONIC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6</v>
      </c>
      <c r="C519" s="1" t="s">
        <v>149</v>
      </c>
      <c r="D519" t="s">
        <v>32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制服岩泉一ICONIC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7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164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1</v>
      </c>
      <c r="C521" s="1" t="s">
        <v>1049</v>
      </c>
      <c r="D521" s="1" t="s">
        <v>32</v>
      </c>
      <c r="E521" s="1" t="s">
        <v>77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サバゲ岩泉一ICONIC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2</v>
      </c>
      <c r="C522" s="1" t="s">
        <v>1049</v>
      </c>
      <c r="D522" s="1" t="s">
        <v>32</v>
      </c>
      <c r="E522" s="1" t="s">
        <v>77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サバゲ岩泉一ICONIC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3</v>
      </c>
      <c r="C523" s="1" t="s">
        <v>1049</v>
      </c>
      <c r="D523" s="1" t="s">
        <v>32</v>
      </c>
      <c r="E523" s="1" t="s">
        <v>77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120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サバゲ岩泉一ICONIC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4</v>
      </c>
      <c r="C524" s="1" t="s">
        <v>1049</v>
      </c>
      <c r="D524" s="1" t="s">
        <v>32</v>
      </c>
      <c r="E524" s="1" t="s">
        <v>77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サバゲ岩泉一ICONIC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5</v>
      </c>
      <c r="C525" s="1" t="s">
        <v>1049</v>
      </c>
      <c r="D525" s="1" t="s">
        <v>32</v>
      </c>
      <c r="E525" s="1" t="s">
        <v>77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サバゲ岩泉一ICONIC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6</v>
      </c>
      <c r="C526" s="1" t="s">
        <v>1049</v>
      </c>
      <c r="D526" s="1" t="s">
        <v>32</v>
      </c>
      <c r="E526" s="1" t="s">
        <v>77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119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サバゲ岩泉一ICONIC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t="s">
        <v>206</v>
      </c>
      <c r="D527" t="s">
        <v>33</v>
      </c>
      <c r="E527" t="s">
        <v>24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t="s">
        <v>206</v>
      </c>
      <c r="D528" t="s">
        <v>33</v>
      </c>
      <c r="E528" t="s">
        <v>24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 s="1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ユニフォーム金田一勇太郎ICONIC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t="s">
        <v>206</v>
      </c>
      <c r="D529" t="s">
        <v>33</v>
      </c>
      <c r="E529" t="s">
        <v>24</v>
      </c>
      <c r="F529" t="s">
        <v>26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 s="1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ユニフォーム金田一勇太郎ICONIC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t="s">
        <v>206</v>
      </c>
      <c r="D530" t="s">
        <v>33</v>
      </c>
      <c r="E530" t="s">
        <v>24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 s="1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ユニフォーム金田一勇太郎ICONIC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t="s">
        <v>206</v>
      </c>
      <c r="D531" t="s">
        <v>33</v>
      </c>
      <c r="E531" t="s">
        <v>24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ユニフォーム金田一勇太郎ICONIC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1</v>
      </c>
      <c r="C532" s="1" t="s">
        <v>959</v>
      </c>
      <c r="D532" t="s">
        <v>33</v>
      </c>
      <c r="E532" s="1" t="s">
        <v>77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 s="1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雪遊び金田一勇太郎ICONIC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2</v>
      </c>
      <c r="C533" s="1" t="s">
        <v>959</v>
      </c>
      <c r="D533" t="s">
        <v>33</v>
      </c>
      <c r="E533" s="1" t="s">
        <v>77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雪遊び金田一勇太郎ICONIC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3</v>
      </c>
      <c r="C534" s="1" t="s">
        <v>959</v>
      </c>
      <c r="D534" t="s">
        <v>33</v>
      </c>
      <c r="E534" s="1" t="s">
        <v>77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雪遊び金田一勇太郎ICONIC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4</v>
      </c>
      <c r="C535" s="1" t="s">
        <v>959</v>
      </c>
      <c r="D535" t="s">
        <v>33</v>
      </c>
      <c r="E535" s="1" t="s">
        <v>77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雪遊び金田一勇太郎ICONIC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5</v>
      </c>
      <c r="C536" s="1" t="s">
        <v>959</v>
      </c>
      <c r="D536" t="s">
        <v>33</v>
      </c>
      <c r="E536" s="1" t="s">
        <v>77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雪遊び金田一勇太郎ICONIC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1</v>
      </c>
      <c r="C537" t="s">
        <v>206</v>
      </c>
      <c r="D537" t="s">
        <v>34</v>
      </c>
      <c r="E537" t="s">
        <v>28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ユニフォーム京谷賢太郎ICONIC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2</v>
      </c>
      <c r="C538" t="s">
        <v>206</v>
      </c>
      <c r="D538" t="s">
        <v>34</v>
      </c>
      <c r="E538" t="s">
        <v>28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ユニフォーム京谷賢太郎ICONIC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3</v>
      </c>
      <c r="C539" t="s">
        <v>206</v>
      </c>
      <c r="D539" t="s">
        <v>34</v>
      </c>
      <c r="E539" t="s">
        <v>28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ユニフォーム京谷賢太郎ICONIC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4</v>
      </c>
      <c r="C540" t="s">
        <v>206</v>
      </c>
      <c r="D540" t="s">
        <v>34</v>
      </c>
      <c r="E540" t="s">
        <v>28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ユニフォーム京谷賢太郎ICONIC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5</v>
      </c>
      <c r="C541" t="s">
        <v>206</v>
      </c>
      <c r="D541" t="s">
        <v>34</v>
      </c>
      <c r="E541" t="s">
        <v>28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ユニフォーム京谷賢太郎ICONIC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1</v>
      </c>
      <c r="C542" t="s">
        <v>206</v>
      </c>
      <c r="D542" t="s">
        <v>35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ユニフォーム国見英ICONIC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2</v>
      </c>
      <c r="C543" t="s">
        <v>206</v>
      </c>
      <c r="D543" t="s">
        <v>35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ユニフォーム国見英ICONIC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3</v>
      </c>
      <c r="C544" t="s">
        <v>206</v>
      </c>
      <c r="D544" t="s">
        <v>35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231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ユニフォーム国見英ICONIC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4</v>
      </c>
      <c r="C545" t="s">
        <v>206</v>
      </c>
      <c r="D545" t="s">
        <v>35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ユニフォーム国見英ICONIC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5</v>
      </c>
      <c r="C546" t="s">
        <v>206</v>
      </c>
      <c r="D546" t="s">
        <v>35</v>
      </c>
      <c r="E546" t="s">
        <v>23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ユニフォーム国見英ICONIC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6</v>
      </c>
      <c r="C547" t="s">
        <v>206</v>
      </c>
      <c r="D547" t="s">
        <v>35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702</v>
      </c>
      <c r="D548" t="s">
        <v>35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職業体験国見英ICONIC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702</v>
      </c>
      <c r="D549" t="s">
        <v>35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職業体験国見英ICONIC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702</v>
      </c>
      <c r="D550" t="s">
        <v>35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職業体験国見英ICONIC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702</v>
      </c>
      <c r="D551" t="s">
        <v>35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職業体験国見英ICONIC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702</v>
      </c>
      <c r="D552" t="s">
        <v>35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職業体験国見英ICONIC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6</v>
      </c>
      <c r="C553" s="1" t="s">
        <v>702</v>
      </c>
      <c r="D553" t="s">
        <v>35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職業体験国見英ICONIC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1122</v>
      </c>
      <c r="D554" s="1" t="s">
        <v>35</v>
      </c>
      <c r="E554" s="1" t="s">
        <v>77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路地裏国見英ICONIC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1122</v>
      </c>
      <c r="D555" s="1" t="s">
        <v>35</v>
      </c>
      <c r="E555" s="1" t="s">
        <v>77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路地裏国見英ICONIC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1122</v>
      </c>
      <c r="D556" s="1" t="s">
        <v>35</v>
      </c>
      <c r="E556" s="1" t="s">
        <v>77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路地裏国見英ICONIC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1122</v>
      </c>
      <c r="D557" s="1" t="s">
        <v>35</v>
      </c>
      <c r="E557" s="1" t="s">
        <v>77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路地裏国見英ICONIC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1122</v>
      </c>
      <c r="D558" s="1" t="s">
        <v>35</v>
      </c>
      <c r="E558" s="1" t="s">
        <v>77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路地裏国見英ICONIC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6</v>
      </c>
      <c r="C559" s="1" t="s">
        <v>1122</v>
      </c>
      <c r="D559" s="1" t="s">
        <v>35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路地裏国見英ICONIC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7</v>
      </c>
      <c r="C560" s="1" t="s">
        <v>1122</v>
      </c>
      <c r="D560" s="1" t="s">
        <v>35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183</v>
      </c>
      <c r="L560" s="1" t="s">
        <v>225</v>
      </c>
      <c r="M560">
        <v>44</v>
      </c>
      <c r="N560">
        <v>0</v>
      </c>
      <c r="O560">
        <v>54</v>
      </c>
      <c r="P560">
        <v>0</v>
      </c>
      <c r="T560" t="str">
        <f>Receive[[#This Row],[服装]]&amp;Receive[[#This Row],[名前]]&amp;Receive[[#This Row],[レアリティ]]</f>
        <v>路地裏国見英ICONIC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1</v>
      </c>
      <c r="C561" t="s">
        <v>206</v>
      </c>
      <c r="D561" t="s">
        <v>36</v>
      </c>
      <c r="E561" t="s">
        <v>23</v>
      </c>
      <c r="F561" t="s">
        <v>21</v>
      </c>
      <c r="G561" t="s">
        <v>20</v>
      </c>
      <c r="H56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ユニフォーム渡親治ICONIC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2</v>
      </c>
      <c r="C562" t="s">
        <v>206</v>
      </c>
      <c r="D562" t="s">
        <v>36</v>
      </c>
      <c r="E562" t="s">
        <v>23</v>
      </c>
      <c r="F562" t="s">
        <v>21</v>
      </c>
      <c r="G562" t="s">
        <v>20</v>
      </c>
      <c r="H562" t="s">
        <v>71</v>
      </c>
      <c r="I562">
        <v>1</v>
      </c>
      <c r="J562" t="s">
        <v>229</v>
      </c>
      <c r="K562" s="1" t="s">
        <v>195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ユニフォーム渡親治ICONIC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3</v>
      </c>
      <c r="C563" t="s">
        <v>206</v>
      </c>
      <c r="D563" t="s">
        <v>36</v>
      </c>
      <c r="E563" t="s">
        <v>23</v>
      </c>
      <c r="F563" t="s">
        <v>21</v>
      </c>
      <c r="G563" t="s">
        <v>20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ユニフォーム渡親治ICONIC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4</v>
      </c>
      <c r="C564" t="s">
        <v>206</v>
      </c>
      <c r="D564" t="s">
        <v>36</v>
      </c>
      <c r="E564" t="s">
        <v>23</v>
      </c>
      <c r="F564" t="s">
        <v>21</v>
      </c>
      <c r="G564" t="s">
        <v>20</v>
      </c>
      <c r="H564" t="s">
        <v>71</v>
      </c>
      <c r="I564">
        <v>1</v>
      </c>
      <c r="J564" t="s">
        <v>229</v>
      </c>
      <c r="K564" s="1" t="s">
        <v>231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ユニフォーム渡親治ICONIC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5</v>
      </c>
      <c r="C565" t="s">
        <v>206</v>
      </c>
      <c r="D565" t="s">
        <v>36</v>
      </c>
      <c r="E565" t="s">
        <v>23</v>
      </c>
      <c r="F565" t="s">
        <v>21</v>
      </c>
      <c r="G565" t="s">
        <v>20</v>
      </c>
      <c r="H565" t="s">
        <v>71</v>
      </c>
      <c r="I565">
        <v>1</v>
      </c>
      <c r="J565" t="s">
        <v>229</v>
      </c>
      <c r="K565" s="1" t="s">
        <v>120</v>
      </c>
      <c r="L565" s="1" t="s">
        <v>173</v>
      </c>
      <c r="M565">
        <v>33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ユニフォーム渡親治ICONIC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6</v>
      </c>
      <c r="C566" t="s">
        <v>206</v>
      </c>
      <c r="D566" t="s">
        <v>36</v>
      </c>
      <c r="E566" t="s">
        <v>23</v>
      </c>
      <c r="F566" t="s">
        <v>21</v>
      </c>
      <c r="G566" t="s">
        <v>20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ユニフォーム渡親治ICONIC</v>
      </c>
    </row>
    <row r="567" spans="1:20" x14ac:dyDescent="0.35">
      <c r="A567">
        <f>VLOOKUP(Receive[[#This Row],[No用]],SetNo[[No.用]:[vlookup 用]],2,FALSE)</f>
        <v>95</v>
      </c>
      <c r="B567">
        <f>IF(ROW()=2,1,IF(A566&lt;&gt;Receive[[#This Row],[No]],1,B566+1))</f>
        <v>7</v>
      </c>
      <c r="C567" t="s">
        <v>206</v>
      </c>
      <c r="D567" t="s">
        <v>36</v>
      </c>
      <c r="E567" t="s">
        <v>23</v>
      </c>
      <c r="F567" t="s">
        <v>21</v>
      </c>
      <c r="G567" t="s">
        <v>20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ユニフォーム渡親治ICONIC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1</v>
      </c>
      <c r="C568" t="s">
        <v>206</v>
      </c>
      <c r="D568" t="s">
        <v>37</v>
      </c>
      <c r="E568" t="s">
        <v>23</v>
      </c>
      <c r="F568" t="s">
        <v>26</v>
      </c>
      <c r="G568" t="s">
        <v>20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ユニフォーム松川一静ICONIC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2</v>
      </c>
      <c r="C569" t="s">
        <v>206</v>
      </c>
      <c r="D569" t="s">
        <v>37</v>
      </c>
      <c r="E569" t="s">
        <v>23</v>
      </c>
      <c r="F569" t="s">
        <v>26</v>
      </c>
      <c r="G569" t="s">
        <v>20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ユニフォーム松川一静ICONIC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3</v>
      </c>
      <c r="C570" t="s">
        <v>206</v>
      </c>
      <c r="D570" t="s">
        <v>37</v>
      </c>
      <c r="E570" t="s">
        <v>23</v>
      </c>
      <c r="F570" t="s">
        <v>26</v>
      </c>
      <c r="G570" t="s">
        <v>20</v>
      </c>
      <c r="H570" t="s">
        <v>71</v>
      </c>
      <c r="I570">
        <v>1</v>
      </c>
      <c r="J570" t="s">
        <v>229</v>
      </c>
      <c r="K570" s="1" t="s">
        <v>120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ユニフォーム松川一静ICONIC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4</v>
      </c>
      <c r="C571" t="s">
        <v>206</v>
      </c>
      <c r="D571" t="s">
        <v>37</v>
      </c>
      <c r="E571" t="s">
        <v>23</v>
      </c>
      <c r="F571" t="s">
        <v>26</v>
      </c>
      <c r="G571" t="s">
        <v>20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ユニフォーム松川一静ICONIC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5</v>
      </c>
      <c r="C572" t="s">
        <v>206</v>
      </c>
      <c r="D572" t="s">
        <v>37</v>
      </c>
      <c r="E572" t="s">
        <v>23</v>
      </c>
      <c r="F572" t="s">
        <v>26</v>
      </c>
      <c r="G572" t="s">
        <v>20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ユニフォーム松川一静ICONIC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1</v>
      </c>
      <c r="C573" s="1" t="s">
        <v>908</v>
      </c>
      <c r="D573" t="s">
        <v>37</v>
      </c>
      <c r="E573" s="1" t="s">
        <v>90</v>
      </c>
      <c r="F573" t="s">
        <v>82</v>
      </c>
      <c r="G573" t="s">
        <v>20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アート松川一静ICONIC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2</v>
      </c>
      <c r="C574" s="1" t="s">
        <v>908</v>
      </c>
      <c r="D574" t="s">
        <v>37</v>
      </c>
      <c r="E574" s="1" t="s">
        <v>90</v>
      </c>
      <c r="F574" t="s">
        <v>82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アート松川一静ICONIC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3</v>
      </c>
      <c r="C575" s="1" t="s">
        <v>908</v>
      </c>
      <c r="D575" t="s">
        <v>37</v>
      </c>
      <c r="E575" s="1" t="s">
        <v>90</v>
      </c>
      <c r="F575" t="s">
        <v>82</v>
      </c>
      <c r="G575" t="s">
        <v>20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アート松川一静ICONIC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4</v>
      </c>
      <c r="C576" s="1" t="s">
        <v>908</v>
      </c>
      <c r="D576" t="s">
        <v>37</v>
      </c>
      <c r="E576" s="1" t="s">
        <v>90</v>
      </c>
      <c r="F576" t="s">
        <v>82</v>
      </c>
      <c r="G576" t="s">
        <v>20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アート松川一静ICONIC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5</v>
      </c>
      <c r="C577" s="1" t="s">
        <v>908</v>
      </c>
      <c r="D577" t="s">
        <v>37</v>
      </c>
      <c r="E577" s="1" t="s">
        <v>90</v>
      </c>
      <c r="F577" t="s">
        <v>82</v>
      </c>
      <c r="G577" t="s">
        <v>20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アート松川一静ICONIC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t="s">
        <v>206</v>
      </c>
      <c r="D578" t="s">
        <v>38</v>
      </c>
      <c r="E578" t="s">
        <v>23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ユニフォーム花巻貴大ICONIC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t="s">
        <v>206</v>
      </c>
      <c r="D579" t="s">
        <v>38</v>
      </c>
      <c r="E579" t="s">
        <v>23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ユニフォーム花巻貴大ICONIC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t="s">
        <v>206</v>
      </c>
      <c r="D580" t="s">
        <v>38</v>
      </c>
      <c r="E580" t="s">
        <v>23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ユニフォーム花巻貴大ICONIC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t="s">
        <v>206</v>
      </c>
      <c r="D581" t="s">
        <v>38</v>
      </c>
      <c r="E581" t="s">
        <v>23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ユニフォーム花巻貴大ICONIC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t="s">
        <v>206</v>
      </c>
      <c r="D582" t="s">
        <v>38</v>
      </c>
      <c r="E582" t="s">
        <v>23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ユニフォーム花巻貴大ICONIC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6</v>
      </c>
      <c r="C583" t="s">
        <v>206</v>
      </c>
      <c r="D583" t="s">
        <v>38</v>
      </c>
      <c r="E583" t="s">
        <v>23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183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ユニフォーム花巻貴大ICONIC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38</v>
      </c>
      <c r="E584" s="1" t="s">
        <v>90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178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アート花巻貴大ICONIC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38</v>
      </c>
      <c r="E585" s="1" t="s">
        <v>90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アート花巻貴大ICONIC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38</v>
      </c>
      <c r="E586" s="1" t="s">
        <v>90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アート花巻貴大ICONIC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38</v>
      </c>
      <c r="E587" s="1" t="s">
        <v>90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アート花巻貴大ICONIC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38</v>
      </c>
      <c r="E588" s="1" t="s">
        <v>90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アート花巻貴大ICONIC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6</v>
      </c>
      <c r="C589" s="1" t="s">
        <v>908</v>
      </c>
      <c r="D589" t="s">
        <v>38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13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アート花巻貴大ICONIC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7</v>
      </c>
      <c r="C590" s="1" t="s">
        <v>908</v>
      </c>
      <c r="D590" t="s">
        <v>38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Receive[[#This Row],[服装]]&amp;Receive[[#This Row],[名前]]&amp;Receive[[#This Row],[レアリティ]]</f>
        <v>アート花巻貴大ICONIC</v>
      </c>
    </row>
    <row r="591" spans="1:20" x14ac:dyDescent="0.35">
      <c r="A591">
        <f>VLOOKUP(Receive[[#This Row],[No用]],SetNo[[No.用]:[vlookup 用]],2,FALSE)</f>
        <v>99</v>
      </c>
      <c r="B591">
        <f>IF(ROW()=2,1,IF(A590&lt;&gt;Receive[[#This Row],[No]],1,B590+1))</f>
        <v>8</v>
      </c>
      <c r="C591" s="1" t="s">
        <v>908</v>
      </c>
      <c r="D591" t="s">
        <v>38</v>
      </c>
      <c r="E591" s="1" t="s">
        <v>90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195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Receive[[#This Row],[服装]]&amp;Receive[[#This Row],[名前]]&amp;Receive[[#This Row],[レアリティ]]</f>
        <v>アート花巻貴大ICONIC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1</v>
      </c>
      <c r="C592" s="1" t="s">
        <v>1165</v>
      </c>
      <c r="D592" s="1" t="s">
        <v>38</v>
      </c>
      <c r="E592" s="1" t="s">
        <v>77</v>
      </c>
      <c r="F592" s="1" t="s">
        <v>25</v>
      </c>
      <c r="G592" s="1" t="s">
        <v>20</v>
      </c>
      <c r="H592" s="1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バーガー花巻貴大ICONIC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2</v>
      </c>
      <c r="C593" s="1" t="s">
        <v>1165</v>
      </c>
      <c r="D593" s="1" t="s">
        <v>38</v>
      </c>
      <c r="E593" s="1" t="s">
        <v>77</v>
      </c>
      <c r="F593" s="1" t="s">
        <v>25</v>
      </c>
      <c r="G593" s="1" t="s">
        <v>20</v>
      </c>
      <c r="H593" s="1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バーガー花巻貴大ICONIC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3</v>
      </c>
      <c r="C594" s="1" t="s">
        <v>1165</v>
      </c>
      <c r="D594" s="1" t="s">
        <v>38</v>
      </c>
      <c r="E594" s="1" t="s">
        <v>77</v>
      </c>
      <c r="F594" s="1" t="s">
        <v>25</v>
      </c>
      <c r="G594" s="1" t="s">
        <v>20</v>
      </c>
      <c r="H594" s="1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バーガー花巻貴大ICONIC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4</v>
      </c>
      <c r="C595" s="1" t="s">
        <v>1165</v>
      </c>
      <c r="D595" s="1" t="s">
        <v>38</v>
      </c>
      <c r="E595" s="1" t="s">
        <v>77</v>
      </c>
      <c r="F595" s="1" t="s">
        <v>25</v>
      </c>
      <c r="G595" s="1" t="s">
        <v>20</v>
      </c>
      <c r="H595" s="1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バーガー花巻貴大ICONIC</v>
      </c>
    </row>
    <row r="596" spans="1:20" x14ac:dyDescent="0.35">
      <c r="A596">
        <f>VLOOKUP(Receive[[#This Row],[No用]],SetNo[[No.用]:[vlookup 用]],2,FALSE)</f>
        <v>100</v>
      </c>
      <c r="B596">
        <f>IF(ROW()=2,1,IF(A595&lt;&gt;Receive[[#This Row],[No]],1,B595+1))</f>
        <v>5</v>
      </c>
      <c r="C596" s="1" t="s">
        <v>1165</v>
      </c>
      <c r="D596" s="1" t="s">
        <v>38</v>
      </c>
      <c r="E596" s="1" t="s">
        <v>77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バーガー花巻貴大ICONIC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s="1" t="s">
        <v>108</v>
      </c>
      <c r="D597" s="1" t="s">
        <v>1042</v>
      </c>
      <c r="E597" s="1" t="s">
        <v>73</v>
      </c>
      <c r="F597" s="1" t="s">
        <v>74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ユニフォーム矢巾秀ICONIC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s="1" t="s">
        <v>108</v>
      </c>
      <c r="D598" s="1" t="s">
        <v>1042</v>
      </c>
      <c r="E598" s="1" t="s">
        <v>73</v>
      </c>
      <c r="F598" s="1" t="s">
        <v>74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ユニフォーム矢巾秀ICONIC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s="1" t="s">
        <v>108</v>
      </c>
      <c r="D599" s="1" t="s">
        <v>1042</v>
      </c>
      <c r="E599" s="1" t="s">
        <v>73</v>
      </c>
      <c r="F599" s="1" t="s">
        <v>74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ユニフォーム矢巾秀ICONIC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s="1" t="s">
        <v>108</v>
      </c>
      <c r="D600" s="1" t="s">
        <v>1042</v>
      </c>
      <c r="E600" s="1" t="s">
        <v>73</v>
      </c>
      <c r="F600" s="1" t="s">
        <v>74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ユニフォーム矢巾秀ICONIC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s="1" t="s">
        <v>108</v>
      </c>
      <c r="D601" s="1" t="s">
        <v>1042</v>
      </c>
      <c r="E601" s="1" t="s">
        <v>73</v>
      </c>
      <c r="F601" s="1" t="s">
        <v>74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ユニフォーム矢巾秀ICONIC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t="s">
        <v>206</v>
      </c>
      <c r="D602" t="s">
        <v>55</v>
      </c>
      <c r="E602" t="s">
        <v>23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ユニフォーム駒木輝ICONIC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t="s">
        <v>206</v>
      </c>
      <c r="D603" t="s">
        <v>55</v>
      </c>
      <c r="E603" t="s">
        <v>23</v>
      </c>
      <c r="F603" t="s">
        <v>25</v>
      </c>
      <c r="G603" t="s">
        <v>56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ユニフォーム駒木輝ICONIC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t="s">
        <v>206</v>
      </c>
      <c r="D604" t="s">
        <v>55</v>
      </c>
      <c r="E604" t="s">
        <v>23</v>
      </c>
      <c r="F604" t="s">
        <v>25</v>
      </c>
      <c r="G604" t="s">
        <v>56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ユニフォーム駒木輝ICONIC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t="s">
        <v>206</v>
      </c>
      <c r="D605" t="s">
        <v>55</v>
      </c>
      <c r="E605" t="s">
        <v>23</v>
      </c>
      <c r="F605" t="s">
        <v>25</v>
      </c>
      <c r="G605" t="s">
        <v>56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ユニフォーム駒木輝ICONIC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t="s">
        <v>206</v>
      </c>
      <c r="D606" t="s">
        <v>55</v>
      </c>
      <c r="E606" t="s">
        <v>23</v>
      </c>
      <c r="F606" t="s">
        <v>25</v>
      </c>
      <c r="G606" t="s">
        <v>56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ユニフォーム駒木輝ICONIC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t="s">
        <v>206</v>
      </c>
      <c r="D607" t="s">
        <v>57</v>
      </c>
      <c r="E607" t="s">
        <v>24</v>
      </c>
      <c r="F607" t="s">
        <v>26</v>
      </c>
      <c r="G607" t="s">
        <v>56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ユニフォーム茶屋和馬ICONIC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t="s">
        <v>206</v>
      </c>
      <c r="D608" t="s">
        <v>57</v>
      </c>
      <c r="E608" t="s">
        <v>24</v>
      </c>
      <c r="F608" t="s">
        <v>26</v>
      </c>
      <c r="G608" t="s">
        <v>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ユニフォーム茶屋和馬ICONIC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t="s">
        <v>206</v>
      </c>
      <c r="D609" t="s">
        <v>57</v>
      </c>
      <c r="E609" t="s">
        <v>24</v>
      </c>
      <c r="F609" t="s">
        <v>26</v>
      </c>
      <c r="G609" t="s">
        <v>56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ユニフォーム茶屋和馬ICONIC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t="s">
        <v>206</v>
      </c>
      <c r="D610" t="s">
        <v>57</v>
      </c>
      <c r="E610" t="s">
        <v>24</v>
      </c>
      <c r="F610" t="s">
        <v>26</v>
      </c>
      <c r="G610" t="s">
        <v>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ユニフォーム茶屋和馬ICONIC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t="s">
        <v>206</v>
      </c>
      <c r="D611" t="s">
        <v>57</v>
      </c>
      <c r="E611" t="s">
        <v>24</v>
      </c>
      <c r="F611" t="s">
        <v>26</v>
      </c>
      <c r="G611" t="s">
        <v>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ユニフォーム茶屋和馬ICONIC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1</v>
      </c>
      <c r="C612" t="s">
        <v>206</v>
      </c>
      <c r="D612" t="s">
        <v>58</v>
      </c>
      <c r="E612" t="s">
        <v>24</v>
      </c>
      <c r="F612" t="s">
        <v>25</v>
      </c>
      <c r="G612" t="s">
        <v>56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ユニフォーム玉川弘樹ICONIC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2</v>
      </c>
      <c r="C613" t="s">
        <v>206</v>
      </c>
      <c r="D613" t="s">
        <v>58</v>
      </c>
      <c r="E613" t="s">
        <v>24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ユニフォーム玉川弘樹ICONIC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3</v>
      </c>
      <c r="C614" t="s">
        <v>206</v>
      </c>
      <c r="D614" t="s">
        <v>58</v>
      </c>
      <c r="E614" t="s">
        <v>24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ユニフォーム玉川弘樹ICONIC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4</v>
      </c>
      <c r="C615" t="s">
        <v>206</v>
      </c>
      <c r="D615" t="s">
        <v>58</v>
      </c>
      <c r="E615" t="s">
        <v>24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ユニフォーム玉川弘樹ICONIC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5</v>
      </c>
      <c r="C616" t="s">
        <v>206</v>
      </c>
      <c r="D616" t="s">
        <v>58</v>
      </c>
      <c r="E616" t="s">
        <v>24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ユニフォーム玉川弘樹ICONIC</v>
      </c>
    </row>
    <row r="617" spans="1:20" x14ac:dyDescent="0.35">
      <c r="A617">
        <f>VLOOKUP(Receive[[#This Row],[No用]],SetNo[[No.用]:[vlookup 用]],2,FALSE)</f>
        <v>105</v>
      </c>
      <c r="B617">
        <f>IF(ROW()=2,1,IF(A616&lt;&gt;Receive[[#This Row],[No]],1,B616+1))</f>
        <v>1</v>
      </c>
      <c r="C617" t="s">
        <v>206</v>
      </c>
      <c r="D617" t="s">
        <v>59</v>
      </c>
      <c r="E617" t="s">
        <v>24</v>
      </c>
      <c r="F617" t="s">
        <v>21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173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ユニフォーム桜井大河ICONIC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2</v>
      </c>
      <c r="C618" t="s">
        <v>206</v>
      </c>
      <c r="D618" t="s">
        <v>59</v>
      </c>
      <c r="E618" t="s">
        <v>24</v>
      </c>
      <c r="F618" t="s">
        <v>21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ユニフォーム桜井大河ICONIC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3</v>
      </c>
      <c r="C619" t="s">
        <v>206</v>
      </c>
      <c r="D619" t="s">
        <v>59</v>
      </c>
      <c r="E619" t="s">
        <v>24</v>
      </c>
      <c r="F619" t="s">
        <v>21</v>
      </c>
      <c r="G619" t="s">
        <v>56</v>
      </c>
      <c r="H619" t="s">
        <v>71</v>
      </c>
      <c r="I619">
        <v>1</v>
      </c>
      <c r="J619" t="s">
        <v>229</v>
      </c>
      <c r="K619" s="1" t="s">
        <v>231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ユニフォーム桜井大河ICONIC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4</v>
      </c>
      <c r="C620" t="s">
        <v>206</v>
      </c>
      <c r="D620" t="s">
        <v>59</v>
      </c>
      <c r="E620" t="s">
        <v>24</v>
      </c>
      <c r="F620" t="s">
        <v>21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173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ユニフォーム桜井大河ICONIC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5</v>
      </c>
      <c r="C621" t="s">
        <v>206</v>
      </c>
      <c r="D621" t="s">
        <v>59</v>
      </c>
      <c r="E621" t="s">
        <v>24</v>
      </c>
      <c r="F621" t="s">
        <v>21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ユニフォーム桜井大河ICONIC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6</v>
      </c>
      <c r="C622" t="s">
        <v>206</v>
      </c>
      <c r="D622" t="s">
        <v>59</v>
      </c>
      <c r="E622" t="s">
        <v>24</v>
      </c>
      <c r="F622" t="s">
        <v>21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ユニフォーム桜井大河ICONIC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7</v>
      </c>
      <c r="C623" t="s">
        <v>206</v>
      </c>
      <c r="D623" t="s">
        <v>59</v>
      </c>
      <c r="E623" t="s">
        <v>24</v>
      </c>
      <c r="F623" t="s">
        <v>21</v>
      </c>
      <c r="G623" t="s">
        <v>56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45</v>
      </c>
      <c r="N623">
        <v>0</v>
      </c>
      <c r="O623">
        <v>55</v>
      </c>
      <c r="P623">
        <v>0</v>
      </c>
      <c r="T623" t="str">
        <f>Receive[[#This Row],[服装]]&amp;Receive[[#This Row],[名前]]&amp;Receive[[#This Row],[レアリティ]]</f>
        <v>ユニフォーム桜井大河ICONIC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1</v>
      </c>
      <c r="C624" t="s">
        <v>206</v>
      </c>
      <c r="D624" t="s">
        <v>60</v>
      </c>
      <c r="E624" t="s">
        <v>24</v>
      </c>
      <c r="F624" t="s">
        <v>31</v>
      </c>
      <c r="G624" t="s">
        <v>56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ユニフォーム芳賀良治ICONIC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2</v>
      </c>
      <c r="C625" t="s">
        <v>206</v>
      </c>
      <c r="D625" t="s">
        <v>60</v>
      </c>
      <c r="E625" t="s">
        <v>24</v>
      </c>
      <c r="F625" t="s">
        <v>31</v>
      </c>
      <c r="G625" t="s">
        <v>56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ユニフォーム芳賀良治ICONIC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3</v>
      </c>
      <c r="C626" t="s">
        <v>206</v>
      </c>
      <c r="D626" t="s">
        <v>60</v>
      </c>
      <c r="E626" t="s">
        <v>24</v>
      </c>
      <c r="F626" t="s">
        <v>31</v>
      </c>
      <c r="G626" t="s">
        <v>56</v>
      </c>
      <c r="H626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ユニフォーム芳賀良治ICONIC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4</v>
      </c>
      <c r="C627" t="s">
        <v>206</v>
      </c>
      <c r="D627" t="s">
        <v>60</v>
      </c>
      <c r="E627" t="s">
        <v>24</v>
      </c>
      <c r="F627" t="s">
        <v>31</v>
      </c>
      <c r="G627" t="s">
        <v>56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ユニフォーム芳賀良治ICONIC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5</v>
      </c>
      <c r="C628" t="s">
        <v>206</v>
      </c>
      <c r="D628" t="s">
        <v>60</v>
      </c>
      <c r="E628" t="s">
        <v>24</v>
      </c>
      <c r="F628" t="s">
        <v>31</v>
      </c>
      <c r="G628" t="s">
        <v>56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ユニフォーム芳賀良治ICONIC</v>
      </c>
    </row>
    <row r="629" spans="1:20" x14ac:dyDescent="0.35">
      <c r="A629">
        <f>VLOOKUP(Receive[[#This Row],[No用]],SetNo[[No.用]:[vlookup 用]],2,FALSE)</f>
        <v>106</v>
      </c>
      <c r="B629">
        <f>IF(ROW()=2,1,IF(A628&lt;&gt;Receive[[#This Row],[No]],1,B628+1))</f>
        <v>6</v>
      </c>
      <c r="C629" t="s">
        <v>206</v>
      </c>
      <c r="D629" t="s">
        <v>60</v>
      </c>
      <c r="E629" t="s">
        <v>24</v>
      </c>
      <c r="F629" t="s">
        <v>31</v>
      </c>
      <c r="G629" t="s">
        <v>56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ユニフォーム芳賀良治ICONIC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1</v>
      </c>
      <c r="C630" t="s">
        <v>206</v>
      </c>
      <c r="D630" t="s">
        <v>61</v>
      </c>
      <c r="E630" t="s">
        <v>24</v>
      </c>
      <c r="F630" t="s">
        <v>26</v>
      </c>
      <c r="G630" t="s">
        <v>56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ユニフォーム渋谷陸斗ICONIC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2</v>
      </c>
      <c r="C631" t="s">
        <v>206</v>
      </c>
      <c r="D631" t="s">
        <v>61</v>
      </c>
      <c r="E631" t="s">
        <v>24</v>
      </c>
      <c r="F631" t="s">
        <v>26</v>
      </c>
      <c r="G631" t="s">
        <v>56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ユニフォーム渋谷陸斗ICONIC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3</v>
      </c>
      <c r="C632" t="s">
        <v>206</v>
      </c>
      <c r="D632" t="s">
        <v>61</v>
      </c>
      <c r="E632" t="s">
        <v>24</v>
      </c>
      <c r="F632" t="s">
        <v>26</v>
      </c>
      <c r="G632" t="s">
        <v>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ユニフォーム渋谷陸斗ICONIC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4</v>
      </c>
      <c r="C633" t="s">
        <v>206</v>
      </c>
      <c r="D633" t="s">
        <v>61</v>
      </c>
      <c r="E633" t="s">
        <v>24</v>
      </c>
      <c r="F633" t="s">
        <v>26</v>
      </c>
      <c r="G633" t="s">
        <v>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ユニフォーム渋谷陸斗ICONIC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5</v>
      </c>
      <c r="C634" t="s">
        <v>206</v>
      </c>
      <c r="D634" t="s">
        <v>61</v>
      </c>
      <c r="E634" t="s">
        <v>24</v>
      </c>
      <c r="F634" t="s">
        <v>26</v>
      </c>
      <c r="G634" t="s">
        <v>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ユニフォーム渋谷陸斗ICONIC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62</v>
      </c>
      <c r="E635" t="s">
        <v>24</v>
      </c>
      <c r="F635" t="s">
        <v>25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ユニフォーム池尻隼人ICONIC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62</v>
      </c>
      <c r="E636" t="s">
        <v>24</v>
      </c>
      <c r="F636" t="s">
        <v>25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ユニフォーム池尻隼人ICONIC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62</v>
      </c>
      <c r="E637" t="s">
        <v>24</v>
      </c>
      <c r="F637" t="s">
        <v>25</v>
      </c>
      <c r="G637" t="s">
        <v>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ユニフォーム池尻隼人ICONIC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62</v>
      </c>
      <c r="E638" t="s">
        <v>24</v>
      </c>
      <c r="F638" t="s">
        <v>25</v>
      </c>
      <c r="G638" t="s">
        <v>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ユニフォーム池尻隼人ICONIC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62</v>
      </c>
      <c r="E639" t="s">
        <v>24</v>
      </c>
      <c r="F639" t="s">
        <v>25</v>
      </c>
      <c r="G639" t="s">
        <v>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13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ユニフォーム池尻隼人ICONIC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1</v>
      </c>
      <c r="C640" t="s">
        <v>206</v>
      </c>
      <c r="D640" t="s">
        <v>63</v>
      </c>
      <c r="E640" t="s">
        <v>28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ユニフォーム十和田良樹ICONIC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2</v>
      </c>
      <c r="C641" t="s">
        <v>206</v>
      </c>
      <c r="D641" t="s">
        <v>63</v>
      </c>
      <c r="E641" t="s">
        <v>28</v>
      </c>
      <c r="F641" t="s">
        <v>25</v>
      </c>
      <c r="G641" t="s">
        <v>64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ユニフォーム十和田良樹ICONIC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3</v>
      </c>
      <c r="C642" t="s">
        <v>206</v>
      </c>
      <c r="D642" t="s">
        <v>63</v>
      </c>
      <c r="E642" t="s">
        <v>28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ユニフォーム十和田良樹ICONIC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4</v>
      </c>
      <c r="C643" t="s">
        <v>206</v>
      </c>
      <c r="D643" t="s">
        <v>63</v>
      </c>
      <c r="E643" t="s">
        <v>28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ユニフォーム十和田良樹ICONIC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5</v>
      </c>
      <c r="C644" t="s">
        <v>206</v>
      </c>
      <c r="D644" t="s">
        <v>63</v>
      </c>
      <c r="E644" t="s">
        <v>28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ユニフォーム十和田良樹ICONIC</v>
      </c>
    </row>
    <row r="645" spans="1:20" x14ac:dyDescent="0.35">
      <c r="A645">
        <f>VLOOKUP(Receive[[#This Row],[No用]],SetNo[[No.用]:[vlookup 用]],2,FALSE)</f>
        <v>110</v>
      </c>
      <c r="B645">
        <f>IF(ROW()=2,1,IF(A644&lt;&gt;Receive[[#This Row],[No]],1,B644+1))</f>
        <v>1</v>
      </c>
      <c r="C645" t="s">
        <v>206</v>
      </c>
      <c r="D645" t="s">
        <v>65</v>
      </c>
      <c r="E645" t="s">
        <v>28</v>
      </c>
      <c r="F645" t="s">
        <v>26</v>
      </c>
      <c r="G645" t="s">
        <v>64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ユニフォーム森岳歩ICONIC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2</v>
      </c>
      <c r="C646" t="s">
        <v>206</v>
      </c>
      <c r="D646" t="s">
        <v>65</v>
      </c>
      <c r="E646" t="s">
        <v>28</v>
      </c>
      <c r="F646" t="s">
        <v>26</v>
      </c>
      <c r="G646" t="s">
        <v>64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ユニフォーム森岳歩ICONIC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3</v>
      </c>
      <c r="C647" t="s">
        <v>206</v>
      </c>
      <c r="D647" t="s">
        <v>65</v>
      </c>
      <c r="E647" t="s">
        <v>28</v>
      </c>
      <c r="F647" t="s">
        <v>26</v>
      </c>
      <c r="G647" t="s">
        <v>64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ユニフォーム森岳歩ICONIC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4</v>
      </c>
      <c r="C648" t="s">
        <v>206</v>
      </c>
      <c r="D648" t="s">
        <v>65</v>
      </c>
      <c r="E648" t="s">
        <v>28</v>
      </c>
      <c r="F648" t="s">
        <v>26</v>
      </c>
      <c r="G648" t="s">
        <v>64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ユニフォーム森岳歩ICONIC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5</v>
      </c>
      <c r="C649" t="s">
        <v>206</v>
      </c>
      <c r="D649" t="s">
        <v>65</v>
      </c>
      <c r="E649" t="s">
        <v>28</v>
      </c>
      <c r="F649" t="s">
        <v>26</v>
      </c>
      <c r="G649" t="s">
        <v>64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ユニフォーム森岳歩ICONIC</v>
      </c>
    </row>
    <row r="650" spans="1:20" x14ac:dyDescent="0.35">
      <c r="A650">
        <f>VLOOKUP(Receive[[#This Row],[No用]],SetNo[[No.用]:[vlookup 用]],2,FALSE)</f>
        <v>111</v>
      </c>
      <c r="B650">
        <f>IF(ROW()=2,1,IF(A649&lt;&gt;Receive[[#This Row],[No]],1,B649+1))</f>
        <v>1</v>
      </c>
      <c r="C650" t="s">
        <v>206</v>
      </c>
      <c r="D650" t="s">
        <v>66</v>
      </c>
      <c r="E650" t="s">
        <v>24</v>
      </c>
      <c r="F650" t="s">
        <v>25</v>
      </c>
      <c r="G650" t="s">
        <v>64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ユニフォーム唐松拓巳ICONIC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2</v>
      </c>
      <c r="C651" t="s">
        <v>206</v>
      </c>
      <c r="D651" t="s">
        <v>66</v>
      </c>
      <c r="E651" t="s">
        <v>24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ユニフォーム唐松拓巳ICONIC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3</v>
      </c>
      <c r="C652" t="s">
        <v>206</v>
      </c>
      <c r="D652" t="s">
        <v>66</v>
      </c>
      <c r="E652" t="s">
        <v>24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ユニフォーム唐松拓巳ICONIC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4</v>
      </c>
      <c r="C653" t="s">
        <v>206</v>
      </c>
      <c r="D653" t="s">
        <v>66</v>
      </c>
      <c r="E653" t="s">
        <v>24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ユニフォーム唐松拓巳ICONIC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5</v>
      </c>
      <c r="C654" t="s">
        <v>206</v>
      </c>
      <c r="D654" t="s">
        <v>66</v>
      </c>
      <c r="E654" t="s">
        <v>24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ユニフォーム唐松拓巳ICONIC</v>
      </c>
    </row>
    <row r="655" spans="1:20" x14ac:dyDescent="0.35">
      <c r="A655">
        <f>VLOOKUP(Receive[[#This Row],[No用]],SetNo[[No.用]:[vlookup 用]],2,FALSE)</f>
        <v>112</v>
      </c>
      <c r="B655">
        <f>IF(ROW()=2,1,IF(A654&lt;&gt;Receive[[#This Row],[No]],1,B654+1))</f>
        <v>1</v>
      </c>
      <c r="C655" t="s">
        <v>206</v>
      </c>
      <c r="D655" t="s">
        <v>67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ユニフォーム田沢裕樹ICONIC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2</v>
      </c>
      <c r="C656" t="s">
        <v>206</v>
      </c>
      <c r="D656" t="s">
        <v>67</v>
      </c>
      <c r="E656" t="s">
        <v>28</v>
      </c>
      <c r="F656" t="s">
        <v>25</v>
      </c>
      <c r="G656" t="s">
        <v>64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ユニフォーム田沢裕樹ICONIC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3</v>
      </c>
      <c r="C657" t="s">
        <v>206</v>
      </c>
      <c r="D657" t="s">
        <v>67</v>
      </c>
      <c r="E657" t="s">
        <v>28</v>
      </c>
      <c r="F657" t="s">
        <v>25</v>
      </c>
      <c r="G657" t="s">
        <v>64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ユニフォーム田沢裕樹ICONIC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4</v>
      </c>
      <c r="C658" t="s">
        <v>206</v>
      </c>
      <c r="D658" t="s">
        <v>67</v>
      </c>
      <c r="E658" t="s">
        <v>28</v>
      </c>
      <c r="F658" t="s">
        <v>25</v>
      </c>
      <c r="G658" t="s">
        <v>64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ユニフォーム田沢裕樹ICONIC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5</v>
      </c>
      <c r="C659" t="s">
        <v>206</v>
      </c>
      <c r="D659" t="s">
        <v>67</v>
      </c>
      <c r="E659" t="s">
        <v>28</v>
      </c>
      <c r="F659" t="s">
        <v>25</v>
      </c>
      <c r="G659" t="s">
        <v>64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ユニフォーム田沢裕樹ICONIC</v>
      </c>
    </row>
    <row r="660" spans="1:20" x14ac:dyDescent="0.35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68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ユニフォーム子安颯真ICONIC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68</v>
      </c>
      <c r="E661" t="s">
        <v>28</v>
      </c>
      <c r="F661" t="s">
        <v>26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ユニフォーム子安颯真ICONIC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68</v>
      </c>
      <c r="E662" t="s">
        <v>28</v>
      </c>
      <c r="F662" t="s">
        <v>26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ユニフォーム子安颯真ICONIC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68</v>
      </c>
      <c r="E663" t="s">
        <v>28</v>
      </c>
      <c r="F663" t="s">
        <v>26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ユニフォーム子安颯真ICONIC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68</v>
      </c>
      <c r="E664" t="s">
        <v>28</v>
      </c>
      <c r="F664" t="s">
        <v>26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ユニフォーム子安颯真ICONIC</v>
      </c>
    </row>
    <row r="665" spans="1:20" x14ac:dyDescent="0.35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t="s">
        <v>206</v>
      </c>
      <c r="D665" t="s">
        <v>69</v>
      </c>
      <c r="E665" t="s">
        <v>28</v>
      </c>
      <c r="F665" t="s">
        <v>21</v>
      </c>
      <c r="G665" t="s">
        <v>64</v>
      </c>
      <c r="H665" t="s">
        <v>71</v>
      </c>
      <c r="I665">
        <v>1</v>
      </c>
      <c r="J665" t="s">
        <v>229</v>
      </c>
      <c r="K665" s="1" t="s">
        <v>119</v>
      </c>
      <c r="L665" s="1" t="s">
        <v>178</v>
      </c>
      <c r="M665">
        <v>31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ユニフォーム横手駿ICONIC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t="s">
        <v>206</v>
      </c>
      <c r="D666" t="s">
        <v>69</v>
      </c>
      <c r="E666" t="s">
        <v>28</v>
      </c>
      <c r="F666" t="s">
        <v>21</v>
      </c>
      <c r="G666" t="s">
        <v>64</v>
      </c>
      <c r="H666" t="s">
        <v>71</v>
      </c>
      <c r="I666">
        <v>1</v>
      </c>
      <c r="J666" t="s">
        <v>229</v>
      </c>
      <c r="K666" s="1" t="s">
        <v>195</v>
      </c>
      <c r="L666" s="1" t="s">
        <v>178</v>
      </c>
      <c r="M666">
        <v>36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ユニフォーム横手駿ICONIC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t="s">
        <v>206</v>
      </c>
      <c r="D667" t="s">
        <v>69</v>
      </c>
      <c r="E667" t="s">
        <v>28</v>
      </c>
      <c r="F667" t="s">
        <v>21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ユニフォーム横手駿ICONIC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t="s">
        <v>206</v>
      </c>
      <c r="D668" t="s">
        <v>69</v>
      </c>
      <c r="E668" t="s">
        <v>28</v>
      </c>
      <c r="F668" t="s">
        <v>21</v>
      </c>
      <c r="G668" t="s">
        <v>64</v>
      </c>
      <c r="H668" t="s">
        <v>71</v>
      </c>
      <c r="I668">
        <v>1</v>
      </c>
      <c r="J668" t="s">
        <v>229</v>
      </c>
      <c r="K668" s="1" t="s">
        <v>231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ユニフォーム横手駿ICONIC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t="s">
        <v>206</v>
      </c>
      <c r="D669" t="s">
        <v>69</v>
      </c>
      <c r="E669" t="s">
        <v>28</v>
      </c>
      <c r="F669" t="s">
        <v>21</v>
      </c>
      <c r="G669" t="s">
        <v>64</v>
      </c>
      <c r="H669" t="s">
        <v>71</v>
      </c>
      <c r="I669">
        <v>1</v>
      </c>
      <c r="J669" t="s">
        <v>229</v>
      </c>
      <c r="K669" s="1" t="s">
        <v>120</v>
      </c>
      <c r="L669" s="1" t="s">
        <v>178</v>
      </c>
      <c r="M669">
        <v>31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ユニフォーム横手駿ICONIC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t="s">
        <v>206</v>
      </c>
      <c r="D670" t="s">
        <v>69</v>
      </c>
      <c r="E670" t="s">
        <v>28</v>
      </c>
      <c r="F670" t="s">
        <v>21</v>
      </c>
      <c r="G670" t="s">
        <v>64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ユニフォーム横手駿ICONIC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7</v>
      </c>
      <c r="C671" t="s">
        <v>206</v>
      </c>
      <c r="D671" t="s">
        <v>69</v>
      </c>
      <c r="E671" t="s">
        <v>28</v>
      </c>
      <c r="F671" t="s">
        <v>21</v>
      </c>
      <c r="G671" t="s">
        <v>64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ユニフォーム横手駿ICONIC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8</v>
      </c>
      <c r="C672" t="s">
        <v>206</v>
      </c>
      <c r="D672" t="s">
        <v>69</v>
      </c>
      <c r="E672" t="s">
        <v>28</v>
      </c>
      <c r="F672" t="s">
        <v>21</v>
      </c>
      <c r="G672" t="s">
        <v>64</v>
      </c>
      <c r="H672" t="s">
        <v>71</v>
      </c>
      <c r="I672">
        <v>1</v>
      </c>
      <c r="J672" t="s">
        <v>229</v>
      </c>
      <c r="K672" s="1" t="s">
        <v>183</v>
      </c>
      <c r="L672" s="1" t="s">
        <v>225</v>
      </c>
      <c r="M672">
        <v>45</v>
      </c>
      <c r="N672">
        <v>0</v>
      </c>
      <c r="O672">
        <v>55</v>
      </c>
      <c r="P672">
        <v>0</v>
      </c>
      <c r="T672" t="str">
        <f>Receive[[#This Row],[服装]]&amp;Receive[[#This Row],[名前]]&amp;Receive[[#This Row],[レアリティ]]</f>
        <v>ユニフォーム横手駿ICONIC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1</v>
      </c>
      <c r="C673" t="s">
        <v>206</v>
      </c>
      <c r="D673" t="s">
        <v>70</v>
      </c>
      <c r="E673" t="s">
        <v>28</v>
      </c>
      <c r="F673" t="s">
        <v>31</v>
      </c>
      <c r="G673" t="s">
        <v>64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ユニフォーム夏瀬伊吹ICONIC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2</v>
      </c>
      <c r="C674" t="s">
        <v>206</v>
      </c>
      <c r="D674" t="s">
        <v>70</v>
      </c>
      <c r="E674" t="s">
        <v>28</v>
      </c>
      <c r="F674" t="s">
        <v>31</v>
      </c>
      <c r="G674" t="s">
        <v>64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ユニフォーム夏瀬伊吹ICONIC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3</v>
      </c>
      <c r="C675" t="s">
        <v>206</v>
      </c>
      <c r="D675" t="s">
        <v>70</v>
      </c>
      <c r="E675" t="s">
        <v>28</v>
      </c>
      <c r="F675" t="s">
        <v>31</v>
      </c>
      <c r="G675" t="s">
        <v>64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ユニフォーム夏瀬伊吹ICONIC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4</v>
      </c>
      <c r="C676" t="s">
        <v>206</v>
      </c>
      <c r="D676" t="s">
        <v>70</v>
      </c>
      <c r="E676" t="s">
        <v>28</v>
      </c>
      <c r="F676" t="s">
        <v>31</v>
      </c>
      <c r="G676" t="s">
        <v>64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ユニフォーム夏瀬伊吹ICONIC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5</v>
      </c>
      <c r="C677" t="s">
        <v>206</v>
      </c>
      <c r="D677" t="s">
        <v>70</v>
      </c>
      <c r="E677" t="s">
        <v>28</v>
      </c>
      <c r="F677" t="s">
        <v>31</v>
      </c>
      <c r="G677" t="s">
        <v>64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ユニフォーム夏瀬伊吹ICONIC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1</v>
      </c>
      <c r="C678" s="1" t="s">
        <v>108</v>
      </c>
      <c r="D678" s="1" t="s">
        <v>1159</v>
      </c>
      <c r="E678" s="1" t="s">
        <v>28</v>
      </c>
      <c r="F678" s="1" t="s">
        <v>31</v>
      </c>
      <c r="G678" s="1" t="s">
        <v>64</v>
      </c>
      <c r="H678" s="1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ユニフォーム秋宮昇ICONIC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2</v>
      </c>
      <c r="C679" s="1" t="s">
        <v>108</v>
      </c>
      <c r="D679" s="1" t="s">
        <v>1159</v>
      </c>
      <c r="E679" s="1" t="s">
        <v>28</v>
      </c>
      <c r="F679" s="1" t="s">
        <v>31</v>
      </c>
      <c r="G679" s="1" t="s">
        <v>64</v>
      </c>
      <c r="H679" s="1" t="s">
        <v>71</v>
      </c>
      <c r="I679">
        <v>1</v>
      </c>
      <c r="J679" t="s">
        <v>229</v>
      </c>
      <c r="K679" s="1" t="s">
        <v>195</v>
      </c>
      <c r="L679" s="1" t="s">
        <v>178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ユニフォーム秋宮昇ICONIC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3</v>
      </c>
      <c r="C680" s="1" t="s">
        <v>108</v>
      </c>
      <c r="D680" s="1" t="s">
        <v>1159</v>
      </c>
      <c r="E680" s="1" t="s">
        <v>28</v>
      </c>
      <c r="F680" s="1" t="s">
        <v>31</v>
      </c>
      <c r="G680" s="1" t="s">
        <v>64</v>
      </c>
      <c r="H680" s="1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ユニフォーム秋宮昇ICONIC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4</v>
      </c>
      <c r="C681" s="1" t="s">
        <v>108</v>
      </c>
      <c r="D681" s="1" t="s">
        <v>1159</v>
      </c>
      <c r="E681" s="1" t="s">
        <v>28</v>
      </c>
      <c r="F681" s="1" t="s">
        <v>31</v>
      </c>
      <c r="G681" s="1" t="s">
        <v>64</v>
      </c>
      <c r="H681" s="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ユニフォーム秋宮昇ICONIC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5</v>
      </c>
      <c r="C682" s="1" t="s">
        <v>108</v>
      </c>
      <c r="D682" s="1" t="s">
        <v>1159</v>
      </c>
      <c r="E682" s="1" t="s">
        <v>28</v>
      </c>
      <c r="F682" s="1" t="s">
        <v>31</v>
      </c>
      <c r="G682" s="1" t="s">
        <v>64</v>
      </c>
      <c r="H682" s="1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ユニフォーム秋宮昇ICONIC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6</v>
      </c>
      <c r="C683" s="1" t="s">
        <v>108</v>
      </c>
      <c r="D683" s="1" t="s">
        <v>1159</v>
      </c>
      <c r="E683" s="1" t="s">
        <v>28</v>
      </c>
      <c r="F683" s="1" t="s">
        <v>31</v>
      </c>
      <c r="G683" s="1" t="s">
        <v>64</v>
      </c>
      <c r="H683" s="1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ユニフォーム秋宮昇ICONIC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7</v>
      </c>
      <c r="C684" s="1" t="s">
        <v>108</v>
      </c>
      <c r="D684" s="1" t="s">
        <v>1159</v>
      </c>
      <c r="E684" s="1" t="s">
        <v>28</v>
      </c>
      <c r="F684" s="1" t="s">
        <v>31</v>
      </c>
      <c r="G684" s="1" t="s">
        <v>64</v>
      </c>
      <c r="H684" s="1" t="s">
        <v>71</v>
      </c>
      <c r="I684">
        <v>1</v>
      </c>
      <c r="J684" t="s">
        <v>229</v>
      </c>
      <c r="K684" s="1" t="s">
        <v>183</v>
      </c>
      <c r="L684" s="1" t="s">
        <v>225</v>
      </c>
      <c r="M684">
        <v>46</v>
      </c>
      <c r="N684">
        <v>0</v>
      </c>
      <c r="O684">
        <v>56</v>
      </c>
      <c r="P684">
        <v>0</v>
      </c>
      <c r="T684" t="str">
        <f>Receive[[#This Row],[服装]]&amp;Receive[[#This Row],[名前]]&amp;Receive[[#This Row],[レアリティ]]</f>
        <v>ユニフォーム秋宮昇ICONIC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1</v>
      </c>
      <c r="C685" t="s">
        <v>206</v>
      </c>
      <c r="D685" t="s">
        <v>72</v>
      </c>
      <c r="E685" t="s">
        <v>23</v>
      </c>
      <c r="F685" t="s">
        <v>31</v>
      </c>
      <c r="G685" t="s">
        <v>75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ユニフォーム古牧譲ICONIC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2</v>
      </c>
      <c r="C686" t="s">
        <v>206</v>
      </c>
      <c r="D686" t="s">
        <v>72</v>
      </c>
      <c r="E686" t="s">
        <v>23</v>
      </c>
      <c r="F686" t="s">
        <v>31</v>
      </c>
      <c r="G686" t="s">
        <v>75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ユニフォーム古牧譲ICONIC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3</v>
      </c>
      <c r="C687" t="s">
        <v>206</v>
      </c>
      <c r="D687" t="s">
        <v>72</v>
      </c>
      <c r="E687" t="s">
        <v>23</v>
      </c>
      <c r="F687" t="s">
        <v>31</v>
      </c>
      <c r="G687" t="s">
        <v>75</v>
      </c>
      <c r="H687" t="s">
        <v>71</v>
      </c>
      <c r="I687">
        <v>1</v>
      </c>
      <c r="J687" t="s">
        <v>229</v>
      </c>
      <c r="K687" s="1" t="s">
        <v>231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ユニフォーム古牧譲ICONIC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4</v>
      </c>
      <c r="C688" t="s">
        <v>206</v>
      </c>
      <c r="D688" t="s">
        <v>72</v>
      </c>
      <c r="E688" t="s">
        <v>23</v>
      </c>
      <c r="F688" t="s">
        <v>31</v>
      </c>
      <c r="G688" t="s">
        <v>75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ユニフォーム古牧譲ICONIC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5</v>
      </c>
      <c r="C689" t="s">
        <v>206</v>
      </c>
      <c r="D689" t="s">
        <v>72</v>
      </c>
      <c r="E689" t="s">
        <v>23</v>
      </c>
      <c r="F689" t="s">
        <v>31</v>
      </c>
      <c r="G689" t="s">
        <v>75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ユニフォーム古牧譲ICONIC</v>
      </c>
    </row>
    <row r="690" spans="1:20" x14ac:dyDescent="0.35">
      <c r="A690">
        <f>VLOOKUP(Receive[[#This Row],[No用]],SetNo[[No.用]:[vlookup 用]],2,FALSE)</f>
        <v>117</v>
      </c>
      <c r="B690">
        <f>IF(ROW()=2,1,IF(A689&lt;&gt;Receive[[#This Row],[No]],1,B689+1))</f>
        <v>6</v>
      </c>
      <c r="C690" t="s">
        <v>206</v>
      </c>
      <c r="D690" t="s">
        <v>72</v>
      </c>
      <c r="E690" t="s">
        <v>23</v>
      </c>
      <c r="F690" t="s">
        <v>31</v>
      </c>
      <c r="G690" t="s">
        <v>75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ユニフォーム古牧譲ICONIC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1</v>
      </c>
      <c r="C691" s="1" t="s">
        <v>959</v>
      </c>
      <c r="D691" t="s">
        <v>72</v>
      </c>
      <c r="E691" s="1" t="s">
        <v>90</v>
      </c>
      <c r="F691" t="s">
        <v>74</v>
      </c>
      <c r="G691" t="s">
        <v>75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雪遊び古牧譲ICONIC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2</v>
      </c>
      <c r="C692" s="1" t="s">
        <v>959</v>
      </c>
      <c r="D692" t="s">
        <v>72</v>
      </c>
      <c r="E692" s="1" t="s">
        <v>90</v>
      </c>
      <c r="F692" t="s">
        <v>74</v>
      </c>
      <c r="G692" t="s">
        <v>75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雪遊び古牧譲ICONIC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3</v>
      </c>
      <c r="C693" s="1" t="s">
        <v>959</v>
      </c>
      <c r="D693" t="s">
        <v>72</v>
      </c>
      <c r="E693" s="1" t="s">
        <v>90</v>
      </c>
      <c r="F693" t="s">
        <v>74</v>
      </c>
      <c r="G693" t="s">
        <v>75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雪遊び古牧譲ICONIC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4</v>
      </c>
      <c r="C694" s="1" t="s">
        <v>959</v>
      </c>
      <c r="D694" t="s">
        <v>72</v>
      </c>
      <c r="E694" s="1" t="s">
        <v>90</v>
      </c>
      <c r="F694" t="s">
        <v>74</v>
      </c>
      <c r="G694" t="s">
        <v>75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雪遊び古牧譲ICONIC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5</v>
      </c>
      <c r="C695" s="1" t="s">
        <v>959</v>
      </c>
      <c r="D695" t="s">
        <v>72</v>
      </c>
      <c r="E695" s="1" t="s">
        <v>90</v>
      </c>
      <c r="F695" t="s">
        <v>74</v>
      </c>
      <c r="G695" t="s">
        <v>75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雪遊び古牧譲ICONIC</v>
      </c>
    </row>
    <row r="696" spans="1:20" x14ac:dyDescent="0.35">
      <c r="A696">
        <f>VLOOKUP(Receive[[#This Row],[No用]],SetNo[[No.用]:[vlookup 用]],2,FALSE)</f>
        <v>118</v>
      </c>
      <c r="B696">
        <f>IF(ROW()=2,1,IF(A695&lt;&gt;Receive[[#This Row],[No]],1,B695+1))</f>
        <v>6</v>
      </c>
      <c r="C696" s="1" t="s">
        <v>959</v>
      </c>
      <c r="D696" t="s">
        <v>72</v>
      </c>
      <c r="E696" s="1" t="s">
        <v>90</v>
      </c>
      <c r="F696" t="s">
        <v>74</v>
      </c>
      <c r="G696" t="s">
        <v>75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1</v>
      </c>
      <c r="C697" t="s">
        <v>206</v>
      </c>
      <c r="D697" t="s">
        <v>76</v>
      </c>
      <c r="E697" t="s">
        <v>28</v>
      </c>
      <c r="F697" t="s">
        <v>25</v>
      </c>
      <c r="G697" t="s">
        <v>75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ユニフォーム浅虫快人ICONIC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2</v>
      </c>
      <c r="C698" t="s">
        <v>206</v>
      </c>
      <c r="D698" t="s">
        <v>76</v>
      </c>
      <c r="E698" t="s">
        <v>28</v>
      </c>
      <c r="F698" t="s">
        <v>25</v>
      </c>
      <c r="G698" t="s">
        <v>75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ユニフォーム浅虫快人ICONIC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3</v>
      </c>
      <c r="C699" t="s">
        <v>206</v>
      </c>
      <c r="D699" t="s">
        <v>76</v>
      </c>
      <c r="E699" t="s">
        <v>28</v>
      </c>
      <c r="F699" t="s">
        <v>25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ユニフォーム浅虫快人ICONIC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4</v>
      </c>
      <c r="C700" t="s">
        <v>206</v>
      </c>
      <c r="D700" t="s">
        <v>76</v>
      </c>
      <c r="E700" t="s">
        <v>28</v>
      </c>
      <c r="F700" t="s">
        <v>25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ユニフォーム浅虫快人ICONIC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5</v>
      </c>
      <c r="C701" t="s">
        <v>206</v>
      </c>
      <c r="D701" t="s">
        <v>76</v>
      </c>
      <c r="E701" t="s">
        <v>28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ユニフォーム浅虫快人ICONIC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t="s">
        <v>206</v>
      </c>
      <c r="D702" t="s">
        <v>79</v>
      </c>
      <c r="E702" t="s">
        <v>23</v>
      </c>
      <c r="F702" t="s">
        <v>21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ユニフォーム南田大志ICONIC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t="s">
        <v>206</v>
      </c>
      <c r="D703" t="s">
        <v>79</v>
      </c>
      <c r="E703" t="s">
        <v>23</v>
      </c>
      <c r="F703" t="s">
        <v>21</v>
      </c>
      <c r="G703" t="s">
        <v>75</v>
      </c>
      <c r="H703" t="s">
        <v>71</v>
      </c>
      <c r="I703">
        <v>1</v>
      </c>
      <c r="J703" t="s">
        <v>229</v>
      </c>
      <c r="K703" s="1" t="s">
        <v>195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ユニフォーム南田大志ICONIC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t="s">
        <v>206</v>
      </c>
      <c r="D704" t="s">
        <v>79</v>
      </c>
      <c r="E704" t="s">
        <v>23</v>
      </c>
      <c r="F704" t="s">
        <v>21</v>
      </c>
      <c r="G704" t="s">
        <v>75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ユニフォーム南田大志ICONIC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t="s">
        <v>206</v>
      </c>
      <c r="D705" t="s">
        <v>79</v>
      </c>
      <c r="E705" t="s">
        <v>23</v>
      </c>
      <c r="F705" t="s">
        <v>21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173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ユニフォーム南田大志ICONIC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t="s">
        <v>206</v>
      </c>
      <c r="D706" t="s">
        <v>79</v>
      </c>
      <c r="E706" t="s">
        <v>23</v>
      </c>
      <c r="F706" t="s">
        <v>21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ユニフォーム南田大志ICONIC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6</v>
      </c>
      <c r="C707" t="s">
        <v>206</v>
      </c>
      <c r="D707" t="s">
        <v>79</v>
      </c>
      <c r="E707" t="s">
        <v>23</v>
      </c>
      <c r="F707" t="s">
        <v>21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ユニフォーム南田大志ICONIC</v>
      </c>
    </row>
    <row r="708" spans="1:20" x14ac:dyDescent="0.35">
      <c r="A708">
        <f>VLOOKUP(Receive[[#This Row],[No用]],SetNo[[No.用]:[vlookup 用]],2,FALSE)</f>
        <v>120</v>
      </c>
      <c r="B708">
        <f>IF(ROW()=2,1,IF(A707&lt;&gt;Receive[[#This Row],[No]],1,B707+1))</f>
        <v>7</v>
      </c>
      <c r="C708" t="s">
        <v>206</v>
      </c>
      <c r="D708" t="s">
        <v>79</v>
      </c>
      <c r="E708" t="s">
        <v>23</v>
      </c>
      <c r="F708" t="s">
        <v>21</v>
      </c>
      <c r="G708" t="s">
        <v>75</v>
      </c>
      <c r="H708" t="s">
        <v>71</v>
      </c>
      <c r="I708">
        <v>1</v>
      </c>
      <c r="J708" t="s">
        <v>229</v>
      </c>
      <c r="K708" s="1" t="s">
        <v>183</v>
      </c>
      <c r="L708" s="1" t="s">
        <v>225</v>
      </c>
      <c r="M708">
        <v>44</v>
      </c>
      <c r="N708">
        <v>0</v>
      </c>
      <c r="O708">
        <v>54</v>
      </c>
      <c r="P708">
        <v>0</v>
      </c>
      <c r="T708" t="str">
        <f>Receive[[#This Row],[服装]]&amp;Receive[[#This Row],[名前]]&amp;Receive[[#This Row],[レアリティ]]</f>
        <v>ユニフォーム南田大志ICONIC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1</v>
      </c>
      <c r="C709" t="s">
        <v>206</v>
      </c>
      <c r="D709" t="s">
        <v>81</v>
      </c>
      <c r="E709" t="s">
        <v>23</v>
      </c>
      <c r="F709" t="s">
        <v>26</v>
      </c>
      <c r="G709" t="s">
        <v>75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ユニフォーム湯川良明ICONIC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2</v>
      </c>
      <c r="C710" t="s">
        <v>206</v>
      </c>
      <c r="D710" t="s">
        <v>81</v>
      </c>
      <c r="E710" t="s">
        <v>23</v>
      </c>
      <c r="F710" t="s">
        <v>26</v>
      </c>
      <c r="G710" t="s">
        <v>75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ユニフォーム湯川良明ICONIC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3</v>
      </c>
      <c r="C711" t="s">
        <v>206</v>
      </c>
      <c r="D711" t="s">
        <v>81</v>
      </c>
      <c r="E711" t="s">
        <v>23</v>
      </c>
      <c r="F711" t="s">
        <v>26</v>
      </c>
      <c r="G711" t="s">
        <v>75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ユニフォーム湯川良明ICONIC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4</v>
      </c>
      <c r="C712" t="s">
        <v>206</v>
      </c>
      <c r="D712" t="s">
        <v>81</v>
      </c>
      <c r="E712" t="s">
        <v>23</v>
      </c>
      <c r="F712" t="s">
        <v>26</v>
      </c>
      <c r="G712" t="s">
        <v>75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ユニフォーム湯川良明ICONIC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5</v>
      </c>
      <c r="C713" t="s">
        <v>206</v>
      </c>
      <c r="D713" t="s">
        <v>81</v>
      </c>
      <c r="E713" t="s">
        <v>23</v>
      </c>
      <c r="F713" t="s">
        <v>26</v>
      </c>
      <c r="G713" t="s">
        <v>75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ユニフォーム湯川良明ICONIC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1</v>
      </c>
      <c r="C714" t="s">
        <v>206</v>
      </c>
      <c r="D714" t="s">
        <v>83</v>
      </c>
      <c r="E714" t="s">
        <v>23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ユニフォーム稲垣功ICONIC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2</v>
      </c>
      <c r="C715" t="s">
        <v>206</v>
      </c>
      <c r="D715" t="s">
        <v>83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ユニフォーム稲垣功ICONIC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3</v>
      </c>
      <c r="C716" t="s">
        <v>206</v>
      </c>
      <c r="D716" t="s">
        <v>83</v>
      </c>
      <c r="E716" t="s">
        <v>23</v>
      </c>
      <c r="F716" t="s">
        <v>25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ユニフォーム稲垣功ICONIC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4</v>
      </c>
      <c r="C717" t="s">
        <v>206</v>
      </c>
      <c r="D717" t="s">
        <v>83</v>
      </c>
      <c r="E717" t="s">
        <v>23</v>
      </c>
      <c r="F717" t="s">
        <v>25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ユニフォーム稲垣功ICONIC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5</v>
      </c>
      <c r="C718" t="s">
        <v>206</v>
      </c>
      <c r="D718" t="s">
        <v>83</v>
      </c>
      <c r="E718" t="s">
        <v>23</v>
      </c>
      <c r="F718" t="s">
        <v>25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ユニフォーム稲垣功ICONIC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86</v>
      </c>
      <c r="E719" t="s">
        <v>23</v>
      </c>
      <c r="F719" t="s">
        <v>26</v>
      </c>
      <c r="G719" t="s">
        <v>75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ユニフォーム馬門英治ICONIC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86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ユニフォーム馬門英治ICONIC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86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ユニフォーム馬門英治ICONIC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86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ユニフォーム馬門英治ICONIC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86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ユニフォーム馬門英治ICONIC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88</v>
      </c>
      <c r="E724" t="s">
        <v>23</v>
      </c>
      <c r="F724" t="s">
        <v>25</v>
      </c>
      <c r="G724" t="s">
        <v>75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ユニフォーム百沢雄大ICONIC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88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231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ユニフォーム百沢雄大ICONIC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88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ユニフォーム百沢雄大ICONIC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88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ユニフォーム百沢雄大ICONIC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88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12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ユニフォーム百沢雄大ICONIC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1</v>
      </c>
      <c r="C729" s="1" t="s">
        <v>702</v>
      </c>
      <c r="D729" t="s">
        <v>88</v>
      </c>
      <c r="E729" s="1" t="s">
        <v>90</v>
      </c>
      <c r="F729" t="s">
        <v>78</v>
      </c>
      <c r="G729" t="s">
        <v>75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職業体験百沢雄大ICONIC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2</v>
      </c>
      <c r="C730" s="1" t="s">
        <v>702</v>
      </c>
      <c r="D730" t="s">
        <v>88</v>
      </c>
      <c r="E730" s="1" t="s">
        <v>90</v>
      </c>
      <c r="F730" t="s">
        <v>78</v>
      </c>
      <c r="G730" t="s">
        <v>75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職業体験百沢雄大ICONIC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3</v>
      </c>
      <c r="C731" s="1" t="s">
        <v>702</v>
      </c>
      <c r="D731" t="s">
        <v>88</v>
      </c>
      <c r="E731" s="1" t="s">
        <v>90</v>
      </c>
      <c r="F731" t="s">
        <v>78</v>
      </c>
      <c r="G731" t="s">
        <v>75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職業体験百沢雄大ICONIC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4</v>
      </c>
      <c r="C732" s="1" t="s">
        <v>702</v>
      </c>
      <c r="D732" t="s">
        <v>88</v>
      </c>
      <c r="E732" s="1" t="s">
        <v>90</v>
      </c>
      <c r="F732" t="s">
        <v>78</v>
      </c>
      <c r="G732" t="s">
        <v>75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職業体験百沢雄大ICONIC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5</v>
      </c>
      <c r="C733" s="1" t="s">
        <v>702</v>
      </c>
      <c r="D733" t="s">
        <v>88</v>
      </c>
      <c r="E733" s="1" t="s">
        <v>90</v>
      </c>
      <c r="F733" t="s">
        <v>78</v>
      </c>
      <c r="G733" t="s">
        <v>75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職業体験百沢雄大ICONIC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1</v>
      </c>
      <c r="C734" t="s">
        <v>108</v>
      </c>
      <c r="D734" t="s">
        <v>89</v>
      </c>
      <c r="E734" t="s">
        <v>90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ユニフォーム照島游児ICONIC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2</v>
      </c>
      <c r="C735" t="s">
        <v>108</v>
      </c>
      <c r="D735" t="s">
        <v>89</v>
      </c>
      <c r="E735" t="s">
        <v>90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ユニフォーム照島游児ICONIC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3</v>
      </c>
      <c r="C736" t="s">
        <v>108</v>
      </c>
      <c r="D736" t="s">
        <v>89</v>
      </c>
      <c r="E736" t="s">
        <v>90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ユニフォーム照島游児ICONIC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4</v>
      </c>
      <c r="C737" t="s">
        <v>108</v>
      </c>
      <c r="D737" t="s">
        <v>89</v>
      </c>
      <c r="E737" t="s">
        <v>90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ユニフォーム照島游児ICONIC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5</v>
      </c>
      <c r="C738" t="s">
        <v>108</v>
      </c>
      <c r="D738" t="s">
        <v>89</v>
      </c>
      <c r="E738" t="s">
        <v>90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ユニフォーム照島游児ICONIC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6</v>
      </c>
      <c r="C739" t="s">
        <v>108</v>
      </c>
      <c r="D739" t="s">
        <v>89</v>
      </c>
      <c r="E739" t="s">
        <v>90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ユニフォーム照島游児ICONIC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149</v>
      </c>
      <c r="D740" t="s">
        <v>89</v>
      </c>
      <c r="E740" t="s">
        <v>77</v>
      </c>
      <c r="F740" t="s">
        <v>78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32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制服照島游児ICONIC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149</v>
      </c>
      <c r="D741" t="s">
        <v>89</v>
      </c>
      <c r="E741" t="s">
        <v>77</v>
      </c>
      <c r="F741" t="s">
        <v>78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制服照島游児ICONIC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149</v>
      </c>
      <c r="D742" t="s">
        <v>89</v>
      </c>
      <c r="E742" t="s">
        <v>77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制服照島游児ICONIC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149</v>
      </c>
      <c r="D743" t="s">
        <v>89</v>
      </c>
      <c r="E743" t="s">
        <v>77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32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制服照島游児ICONIC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149</v>
      </c>
      <c r="D744" t="s">
        <v>89</v>
      </c>
      <c r="E744" t="s">
        <v>77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制服照島游児ICONIC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6</v>
      </c>
      <c r="C745" t="s">
        <v>149</v>
      </c>
      <c r="D745" t="s">
        <v>89</v>
      </c>
      <c r="E745" t="s">
        <v>77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制服照島游児ICONIC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7</v>
      </c>
      <c r="C746" t="s">
        <v>149</v>
      </c>
      <c r="D746" t="s">
        <v>89</v>
      </c>
      <c r="E746" t="s">
        <v>77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183</v>
      </c>
      <c r="L746" s="1" t="s">
        <v>225</v>
      </c>
      <c r="M746">
        <v>51</v>
      </c>
      <c r="N746">
        <v>0</v>
      </c>
      <c r="O746">
        <v>61</v>
      </c>
      <c r="P746">
        <v>0</v>
      </c>
      <c r="T746" t="str">
        <f>Receive[[#This Row],[服装]]&amp;Receive[[#This Row],[名前]]&amp;Receive[[#This Row],[レアリティ]]</f>
        <v>制服照島游児ICONIC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1</v>
      </c>
      <c r="C747" s="1" t="s">
        <v>959</v>
      </c>
      <c r="D747" t="s">
        <v>89</v>
      </c>
      <c r="E747" s="1" t="s">
        <v>960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雪遊び照島游児ICONIC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2</v>
      </c>
      <c r="C748" s="1" t="s">
        <v>959</v>
      </c>
      <c r="D748" t="s">
        <v>89</v>
      </c>
      <c r="E748" s="1" t="s">
        <v>960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雪遊び照島游児ICONIC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3</v>
      </c>
      <c r="C749" s="1" t="s">
        <v>959</v>
      </c>
      <c r="D749" t="s">
        <v>89</v>
      </c>
      <c r="E749" s="1" t="s">
        <v>960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雪遊び照島游児ICONIC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4</v>
      </c>
      <c r="C750" s="1" t="s">
        <v>959</v>
      </c>
      <c r="D750" t="s">
        <v>89</v>
      </c>
      <c r="E750" s="1" t="s">
        <v>960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29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雪遊び照島游児ICONIC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5</v>
      </c>
      <c r="C751" s="1" t="s">
        <v>959</v>
      </c>
      <c r="D751" t="s">
        <v>89</v>
      </c>
      <c r="E751" s="1" t="s">
        <v>960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雪遊び照島游児ICONIC</v>
      </c>
    </row>
    <row r="752" spans="1:20" x14ac:dyDescent="0.35">
      <c r="A752">
        <f>VLOOKUP(Receive[[#This Row],[No用]],SetNo[[No.用]:[vlookup 用]],2,FALSE)</f>
        <v>128</v>
      </c>
      <c r="B752">
        <f>IF(ROW()=2,1,IF(A751&lt;&gt;Receive[[#This Row],[No]],1,B751+1))</f>
        <v>6</v>
      </c>
      <c r="C752" s="1" t="s">
        <v>959</v>
      </c>
      <c r="D752" t="s">
        <v>89</v>
      </c>
      <c r="E752" s="1" t="s">
        <v>960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雪遊び照島游児ICONIC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1</v>
      </c>
      <c r="C753" t="s">
        <v>108</v>
      </c>
      <c r="D753" t="s">
        <v>92</v>
      </c>
      <c r="E753" t="s">
        <v>90</v>
      </c>
      <c r="F753" t="s">
        <v>82</v>
      </c>
      <c r="G753" t="s">
        <v>91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ユニフォーム母畑和馬ICONIC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2</v>
      </c>
      <c r="C754" t="s">
        <v>108</v>
      </c>
      <c r="D754" t="s">
        <v>92</v>
      </c>
      <c r="E754" t="s">
        <v>90</v>
      </c>
      <c r="F754" t="s">
        <v>82</v>
      </c>
      <c r="G754" t="s">
        <v>91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ユニフォーム母畑和馬ICONIC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3</v>
      </c>
      <c r="C755" t="s">
        <v>108</v>
      </c>
      <c r="D755" t="s">
        <v>92</v>
      </c>
      <c r="E755" t="s">
        <v>90</v>
      </c>
      <c r="F755" t="s">
        <v>82</v>
      </c>
      <c r="G755" t="s">
        <v>91</v>
      </c>
      <c r="H755" t="s">
        <v>71</v>
      </c>
      <c r="I755">
        <v>1</v>
      </c>
      <c r="J755" t="s">
        <v>229</v>
      </c>
      <c r="K755" s="1" t="s">
        <v>231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ユニフォーム母畑和馬ICONIC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4</v>
      </c>
      <c r="C756" t="s">
        <v>108</v>
      </c>
      <c r="D756" t="s">
        <v>92</v>
      </c>
      <c r="E756" t="s">
        <v>90</v>
      </c>
      <c r="F756" t="s">
        <v>82</v>
      </c>
      <c r="G756" t="s">
        <v>91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ユニフォーム母畑和馬ICONIC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5</v>
      </c>
      <c r="C757" t="s">
        <v>108</v>
      </c>
      <c r="D757" t="s">
        <v>92</v>
      </c>
      <c r="E757" t="s">
        <v>90</v>
      </c>
      <c r="F757" t="s">
        <v>82</v>
      </c>
      <c r="G757" t="s">
        <v>91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ユニフォーム母畑和馬ICONIC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6</v>
      </c>
      <c r="C758" t="s">
        <v>108</v>
      </c>
      <c r="D758" t="s">
        <v>92</v>
      </c>
      <c r="E758" t="s">
        <v>90</v>
      </c>
      <c r="F758" t="s">
        <v>82</v>
      </c>
      <c r="G758" t="s">
        <v>91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ユニフォーム母畑和馬ICONIC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1</v>
      </c>
      <c r="C759" t="s">
        <v>108</v>
      </c>
      <c r="D759" t="s">
        <v>93</v>
      </c>
      <c r="E759" t="s">
        <v>73</v>
      </c>
      <c r="F759" t="s">
        <v>74</v>
      </c>
      <c r="G759" t="s">
        <v>91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ユニフォーム二岐丈晴ICONIC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2</v>
      </c>
      <c r="C760" t="s">
        <v>108</v>
      </c>
      <c r="D760" t="s">
        <v>93</v>
      </c>
      <c r="E760" t="s">
        <v>73</v>
      </c>
      <c r="F760" t="s">
        <v>74</v>
      </c>
      <c r="G760" t="s">
        <v>91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ユニフォーム二岐丈晴ICONIC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3</v>
      </c>
      <c r="C761" t="s">
        <v>108</v>
      </c>
      <c r="D761" t="s">
        <v>93</v>
      </c>
      <c r="E761" t="s">
        <v>73</v>
      </c>
      <c r="F761" t="s">
        <v>74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ユニフォーム二岐丈晴ICONIC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4</v>
      </c>
      <c r="C762" t="s">
        <v>108</v>
      </c>
      <c r="D762" t="s">
        <v>93</v>
      </c>
      <c r="E762" t="s">
        <v>73</v>
      </c>
      <c r="F762" t="s">
        <v>74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ユニフォーム二岐丈晴ICONIC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5</v>
      </c>
      <c r="C763" t="s">
        <v>108</v>
      </c>
      <c r="D763" t="s">
        <v>93</v>
      </c>
      <c r="E763" t="s">
        <v>73</v>
      </c>
      <c r="F763" t="s">
        <v>74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ユニフォーム二岐丈晴ICONIC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149</v>
      </c>
      <c r="D764" t="s">
        <v>93</v>
      </c>
      <c r="E764" t="s">
        <v>90</v>
      </c>
      <c r="F764" t="s">
        <v>74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制服二岐丈晴ICONIC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149</v>
      </c>
      <c r="D765" t="s">
        <v>93</v>
      </c>
      <c r="E765" t="s">
        <v>90</v>
      </c>
      <c r="F765" t="s">
        <v>74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制服二岐丈晴ICONIC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149</v>
      </c>
      <c r="D766" t="s">
        <v>93</v>
      </c>
      <c r="E766" t="s">
        <v>90</v>
      </c>
      <c r="F766" t="s">
        <v>74</v>
      </c>
      <c r="G766" t="s">
        <v>91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制服二岐丈晴ICONIC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149</v>
      </c>
      <c r="D767" t="s">
        <v>93</v>
      </c>
      <c r="E767" t="s">
        <v>90</v>
      </c>
      <c r="F767" t="s">
        <v>74</v>
      </c>
      <c r="G767" t="s">
        <v>91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制服二岐丈晴ICONIC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149</v>
      </c>
      <c r="D768" t="s">
        <v>93</v>
      </c>
      <c r="E768" t="s">
        <v>90</v>
      </c>
      <c r="F768" t="s">
        <v>74</v>
      </c>
      <c r="G768" t="s">
        <v>91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制服二岐丈晴ICONIC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108</v>
      </c>
      <c r="D769" t="s">
        <v>99</v>
      </c>
      <c r="E769" t="s">
        <v>73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ユニフォーム沼尻凛太郎ICONIC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108</v>
      </c>
      <c r="D770" t="s">
        <v>99</v>
      </c>
      <c r="E770" t="s">
        <v>73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ユニフォーム沼尻凛太郎ICONIC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108</v>
      </c>
      <c r="D771" t="s">
        <v>99</v>
      </c>
      <c r="E771" t="s">
        <v>73</v>
      </c>
      <c r="F771" t="s">
        <v>78</v>
      </c>
      <c r="G771" t="s">
        <v>91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ユニフォーム沼尻凛太郎ICONIC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108</v>
      </c>
      <c r="D772" t="s">
        <v>99</v>
      </c>
      <c r="E772" t="s">
        <v>73</v>
      </c>
      <c r="F772" t="s">
        <v>78</v>
      </c>
      <c r="G772" t="s">
        <v>91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ユニフォーム沼尻凛太郎ICONIC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108</v>
      </c>
      <c r="D773" t="s">
        <v>99</v>
      </c>
      <c r="E773" t="s">
        <v>73</v>
      </c>
      <c r="F773" t="s">
        <v>78</v>
      </c>
      <c r="G773" t="s">
        <v>91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ユニフォーム沼尻凛太郎ICONIC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1</v>
      </c>
      <c r="C774" t="s">
        <v>108</v>
      </c>
      <c r="D774" t="s">
        <v>94</v>
      </c>
      <c r="E774" t="s">
        <v>90</v>
      </c>
      <c r="F774" t="s">
        <v>82</v>
      </c>
      <c r="G774" t="s">
        <v>91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ユニフォーム飯坂信義ICONIC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2</v>
      </c>
      <c r="C775" t="s">
        <v>108</v>
      </c>
      <c r="D775" t="s">
        <v>94</v>
      </c>
      <c r="E775" t="s">
        <v>90</v>
      </c>
      <c r="F775" t="s">
        <v>82</v>
      </c>
      <c r="G775" t="s">
        <v>91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ユニフォーム飯坂信義ICONIC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3</v>
      </c>
      <c r="C776" t="s">
        <v>108</v>
      </c>
      <c r="D776" t="s">
        <v>94</v>
      </c>
      <c r="E776" t="s">
        <v>90</v>
      </c>
      <c r="F776" t="s">
        <v>82</v>
      </c>
      <c r="G776" t="s">
        <v>91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ユニフォーム飯坂信義ICONIC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4</v>
      </c>
      <c r="C777" t="s">
        <v>108</v>
      </c>
      <c r="D777" t="s">
        <v>94</v>
      </c>
      <c r="E777" t="s">
        <v>90</v>
      </c>
      <c r="F777" t="s">
        <v>82</v>
      </c>
      <c r="G777" t="s">
        <v>91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ユニフォーム飯坂信義ICONIC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5</v>
      </c>
      <c r="C778" t="s">
        <v>108</v>
      </c>
      <c r="D778" t="s">
        <v>94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ユニフォーム飯坂信義ICONIC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108</v>
      </c>
      <c r="D779" t="s">
        <v>95</v>
      </c>
      <c r="E779" t="s">
        <v>90</v>
      </c>
      <c r="F779" t="s">
        <v>78</v>
      </c>
      <c r="G779" t="s">
        <v>91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ユニフォーム東山勝道ICONIC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108</v>
      </c>
      <c r="D780" t="s">
        <v>95</v>
      </c>
      <c r="E780" t="s">
        <v>90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ユニフォーム東山勝道ICONIC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108</v>
      </c>
      <c r="D781" t="s">
        <v>95</v>
      </c>
      <c r="E781" t="s">
        <v>90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ユニフォーム東山勝道ICONIC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108</v>
      </c>
      <c r="D782" t="s">
        <v>95</v>
      </c>
      <c r="E782" t="s">
        <v>90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ユニフォーム東山勝道ICONIC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108</v>
      </c>
      <c r="D783" t="s">
        <v>95</v>
      </c>
      <c r="E783" t="s">
        <v>90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ユニフォーム東山勝道ICONIC</v>
      </c>
    </row>
    <row r="784" spans="1:20" x14ac:dyDescent="0.35">
      <c r="A784">
        <f>VLOOKUP(Receive[[#This Row],[No用]],SetNo[[No.用]:[vlookup 用]],2,FALSE)</f>
        <v>135</v>
      </c>
      <c r="B784">
        <f>IF(ROW()=2,1,IF(A783&lt;&gt;Receive[[#This Row],[No]],1,B783+1))</f>
        <v>1</v>
      </c>
      <c r="C784" t="s">
        <v>108</v>
      </c>
      <c r="D784" t="s">
        <v>96</v>
      </c>
      <c r="E784" t="s">
        <v>90</v>
      </c>
      <c r="F784" t="s">
        <v>80</v>
      </c>
      <c r="G784" t="s">
        <v>91</v>
      </c>
      <c r="H784" t="s">
        <v>71</v>
      </c>
      <c r="I784">
        <v>1</v>
      </c>
      <c r="J784" t="s">
        <v>229</v>
      </c>
      <c r="K784" s="1" t="s">
        <v>119</v>
      </c>
      <c r="L784" s="1" t="s">
        <v>173</v>
      </c>
      <c r="M784">
        <v>36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ユニフォーム土湯新ICONIC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2</v>
      </c>
      <c r="C785" t="s">
        <v>108</v>
      </c>
      <c r="D785" t="s">
        <v>96</v>
      </c>
      <c r="E785" t="s">
        <v>90</v>
      </c>
      <c r="F785" t="s">
        <v>80</v>
      </c>
      <c r="G785" t="s">
        <v>91</v>
      </c>
      <c r="H785" t="s">
        <v>71</v>
      </c>
      <c r="I785">
        <v>1</v>
      </c>
      <c r="J785" t="s">
        <v>229</v>
      </c>
      <c r="K785" s="1" t="s">
        <v>195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ユニフォーム土湯新ICONIC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3</v>
      </c>
      <c r="C786" t="s">
        <v>108</v>
      </c>
      <c r="D786" t="s">
        <v>96</v>
      </c>
      <c r="E786" t="s">
        <v>90</v>
      </c>
      <c r="F786" t="s">
        <v>80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ユニフォーム土湯新ICONIC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4</v>
      </c>
      <c r="C787" t="s">
        <v>108</v>
      </c>
      <c r="D787" t="s">
        <v>96</v>
      </c>
      <c r="E787" t="s">
        <v>90</v>
      </c>
      <c r="F787" t="s">
        <v>80</v>
      </c>
      <c r="G787" t="s">
        <v>91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ユニフォーム土湯新ICONIC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5</v>
      </c>
      <c r="C788" t="s">
        <v>108</v>
      </c>
      <c r="D788" t="s">
        <v>96</v>
      </c>
      <c r="E788" t="s">
        <v>90</v>
      </c>
      <c r="F788" t="s">
        <v>80</v>
      </c>
      <c r="G788" t="s">
        <v>91</v>
      </c>
      <c r="H788" t="s">
        <v>71</v>
      </c>
      <c r="I788">
        <v>1</v>
      </c>
      <c r="J788" t="s">
        <v>229</v>
      </c>
      <c r="K788" s="1" t="s">
        <v>120</v>
      </c>
      <c r="L788" s="1" t="s">
        <v>173</v>
      </c>
      <c r="M788">
        <v>36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ユニフォーム土湯新ICONIC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6</v>
      </c>
      <c r="C789" t="s">
        <v>108</v>
      </c>
      <c r="D789" t="s">
        <v>96</v>
      </c>
      <c r="E789" t="s">
        <v>90</v>
      </c>
      <c r="F789" t="s">
        <v>80</v>
      </c>
      <c r="G789" t="s">
        <v>91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34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ユニフォーム土湯新ICONIC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7</v>
      </c>
      <c r="C790" t="s">
        <v>108</v>
      </c>
      <c r="D790" t="s">
        <v>96</v>
      </c>
      <c r="E790" t="s">
        <v>90</v>
      </c>
      <c r="F790" t="s">
        <v>80</v>
      </c>
      <c r="G790" t="s">
        <v>91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34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ユニフォーム土湯新ICONIC</v>
      </c>
    </row>
    <row r="791" spans="1:20" x14ac:dyDescent="0.35">
      <c r="A791">
        <f>VLOOKUP(Receive[[#This Row],[No用]],SetNo[[No.用]:[vlookup 用]],2,FALSE)</f>
        <v>135</v>
      </c>
      <c r="B791">
        <f>IF(ROW()=2,1,IF(A790&lt;&gt;Receive[[#This Row],[No]],1,B790+1))</f>
        <v>8</v>
      </c>
      <c r="C791" t="s">
        <v>108</v>
      </c>
      <c r="D791" t="s">
        <v>96</v>
      </c>
      <c r="E791" t="s">
        <v>90</v>
      </c>
      <c r="F791" t="s">
        <v>80</v>
      </c>
      <c r="G791" t="s">
        <v>91</v>
      </c>
      <c r="H791" t="s">
        <v>71</v>
      </c>
      <c r="I791">
        <v>1</v>
      </c>
      <c r="J791" t="s">
        <v>229</v>
      </c>
      <c r="K791" s="1" t="s">
        <v>183</v>
      </c>
      <c r="L791" s="1" t="s">
        <v>225</v>
      </c>
      <c r="M791">
        <v>47</v>
      </c>
      <c r="N791">
        <v>0</v>
      </c>
      <c r="O791">
        <v>57</v>
      </c>
      <c r="P791">
        <v>0</v>
      </c>
      <c r="T791" t="str">
        <f>Receive[[#This Row],[服装]]&amp;Receive[[#This Row],[名前]]&amp;Receive[[#This Row],[レアリティ]]</f>
        <v>ユニフォーム土湯新ICONIC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1</v>
      </c>
      <c r="C792" t="s">
        <v>206</v>
      </c>
      <c r="D792" t="s">
        <v>569</v>
      </c>
      <c r="E792" t="s">
        <v>28</v>
      </c>
      <c r="F792" t="s">
        <v>25</v>
      </c>
      <c r="G792" t="s">
        <v>156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ユニフォーム中島猛ICONIC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2</v>
      </c>
      <c r="C793" t="s">
        <v>206</v>
      </c>
      <c r="D793" t="s">
        <v>569</v>
      </c>
      <c r="E793" t="s">
        <v>28</v>
      </c>
      <c r="F793" t="s">
        <v>25</v>
      </c>
      <c r="G793" t="s">
        <v>156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ユニフォーム中島猛ICONIC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3</v>
      </c>
      <c r="C794" t="s">
        <v>206</v>
      </c>
      <c r="D794" t="s">
        <v>569</v>
      </c>
      <c r="E794" t="s">
        <v>28</v>
      </c>
      <c r="F794" t="s">
        <v>25</v>
      </c>
      <c r="G794" t="s">
        <v>156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ユニフォーム中島猛ICONIC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4</v>
      </c>
      <c r="C795" t="s">
        <v>206</v>
      </c>
      <c r="D795" t="s">
        <v>569</v>
      </c>
      <c r="E795" t="s">
        <v>28</v>
      </c>
      <c r="F795" t="s">
        <v>25</v>
      </c>
      <c r="G795" t="s">
        <v>156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ユニフォーム中島猛ICONIC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5</v>
      </c>
      <c r="C796" t="s">
        <v>206</v>
      </c>
      <c r="D796" t="s">
        <v>569</v>
      </c>
      <c r="E796" t="s">
        <v>28</v>
      </c>
      <c r="F796" t="s">
        <v>25</v>
      </c>
      <c r="G796" t="s">
        <v>156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ユニフォーム中島猛ICONIC</v>
      </c>
    </row>
    <row r="797" spans="1:20" x14ac:dyDescent="0.35">
      <c r="A797">
        <f>VLOOKUP(Receive[[#This Row],[No用]],SetNo[[No.用]:[vlookup 用]],2,FALSE)</f>
        <v>136</v>
      </c>
      <c r="B797">
        <f>IF(ROW()=2,1,IF(A796&lt;&gt;Receive[[#This Row],[No]],1,B796+1))</f>
        <v>6</v>
      </c>
      <c r="C797" t="s">
        <v>206</v>
      </c>
      <c r="D797" t="s">
        <v>569</v>
      </c>
      <c r="E797" t="s">
        <v>28</v>
      </c>
      <c r="F797" t="s">
        <v>25</v>
      </c>
      <c r="G797" t="s">
        <v>156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ユニフォーム中島猛ICONIC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1</v>
      </c>
      <c r="C798" t="s">
        <v>206</v>
      </c>
      <c r="D798" t="s">
        <v>572</v>
      </c>
      <c r="E798" t="s">
        <v>24</v>
      </c>
      <c r="F798" t="s">
        <v>25</v>
      </c>
      <c r="G798" t="s">
        <v>156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ユニフォーム白石優希ICONIC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2</v>
      </c>
      <c r="C799" t="s">
        <v>206</v>
      </c>
      <c r="D799" t="s">
        <v>572</v>
      </c>
      <c r="E799" t="s">
        <v>24</v>
      </c>
      <c r="F799" t="s">
        <v>25</v>
      </c>
      <c r="G799" t="s">
        <v>156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ユニフォーム白石優希ICONIC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3</v>
      </c>
      <c r="C800" t="s">
        <v>206</v>
      </c>
      <c r="D800" t="s">
        <v>572</v>
      </c>
      <c r="E800" t="s">
        <v>24</v>
      </c>
      <c r="F800" t="s">
        <v>25</v>
      </c>
      <c r="G800" t="s">
        <v>156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ユニフォーム白石優希ICONIC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4</v>
      </c>
      <c r="C801" t="s">
        <v>206</v>
      </c>
      <c r="D801" t="s">
        <v>572</v>
      </c>
      <c r="E801" t="s">
        <v>24</v>
      </c>
      <c r="F801" t="s">
        <v>25</v>
      </c>
      <c r="G801" t="s">
        <v>156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ユニフォーム白石優希ICONIC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5</v>
      </c>
      <c r="C802" t="s">
        <v>206</v>
      </c>
      <c r="D802" t="s">
        <v>572</v>
      </c>
      <c r="E802" t="s">
        <v>24</v>
      </c>
      <c r="F802" t="s">
        <v>25</v>
      </c>
      <c r="G802" t="s">
        <v>156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ユニフォーム白石優希ICONIC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575</v>
      </c>
      <c r="E803" t="s">
        <v>28</v>
      </c>
      <c r="F803" t="s">
        <v>31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ユニフォーム花山一雅ICONIC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575</v>
      </c>
      <c r="E804" t="s">
        <v>28</v>
      </c>
      <c r="F804" t="s">
        <v>31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ユニフォーム花山一雅ICONIC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575</v>
      </c>
      <c r="E805" t="s">
        <v>28</v>
      </c>
      <c r="F805" t="s">
        <v>31</v>
      </c>
      <c r="G805" t="s">
        <v>156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ユニフォーム花山一雅ICONIC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575</v>
      </c>
      <c r="E806" t="s">
        <v>28</v>
      </c>
      <c r="F806" t="s">
        <v>31</v>
      </c>
      <c r="G806" t="s">
        <v>156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ユニフォーム花山一雅ICONIC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575</v>
      </c>
      <c r="E807" t="s">
        <v>28</v>
      </c>
      <c r="F807" t="s">
        <v>31</v>
      </c>
      <c r="G807" t="s">
        <v>156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ユニフォーム花山一雅ICONIC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1</v>
      </c>
      <c r="C808" t="s">
        <v>206</v>
      </c>
      <c r="D808" t="s">
        <v>578</v>
      </c>
      <c r="E808" t="s">
        <v>28</v>
      </c>
      <c r="F808" t="s">
        <v>26</v>
      </c>
      <c r="G808" t="s">
        <v>156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ユニフォーム鳴子哲平ICONIC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2</v>
      </c>
      <c r="C809" t="s">
        <v>206</v>
      </c>
      <c r="D809" t="s">
        <v>578</v>
      </c>
      <c r="E809" t="s">
        <v>28</v>
      </c>
      <c r="F809" t="s">
        <v>26</v>
      </c>
      <c r="G809" t="s">
        <v>156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ユニフォーム鳴子哲平ICONIC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3</v>
      </c>
      <c r="C810" t="s">
        <v>206</v>
      </c>
      <c r="D810" t="s">
        <v>578</v>
      </c>
      <c r="E810" t="s">
        <v>28</v>
      </c>
      <c r="F810" t="s">
        <v>26</v>
      </c>
      <c r="G810" t="s">
        <v>156</v>
      </c>
      <c r="H810" t="s">
        <v>71</v>
      </c>
      <c r="I810">
        <v>1</v>
      </c>
      <c r="J810" t="s">
        <v>229</v>
      </c>
      <c r="K810" s="1" t="s">
        <v>120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ユニフォーム鳴子哲平ICONIC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4</v>
      </c>
      <c r="C811" t="s">
        <v>206</v>
      </c>
      <c r="D811" t="s">
        <v>578</v>
      </c>
      <c r="E811" t="s">
        <v>28</v>
      </c>
      <c r="F811" t="s">
        <v>26</v>
      </c>
      <c r="G811" t="s">
        <v>156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ユニフォーム鳴子哲平ICONIC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5</v>
      </c>
      <c r="C812" t="s">
        <v>206</v>
      </c>
      <c r="D812" t="s">
        <v>578</v>
      </c>
      <c r="E812" t="s">
        <v>28</v>
      </c>
      <c r="F812" t="s">
        <v>26</v>
      </c>
      <c r="G812" t="s">
        <v>156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ユニフォーム鳴子哲平ICONIC</v>
      </c>
    </row>
    <row r="813" spans="1:20" x14ac:dyDescent="0.35">
      <c r="A813">
        <f>VLOOKUP(Receive[[#This Row],[No用]],SetNo[[No.用]:[vlookup 用]],2,FALSE)</f>
        <v>140</v>
      </c>
      <c r="B813">
        <f>IF(ROW()=2,1,IF(A812&lt;&gt;Receive[[#This Row],[No]],1,B812+1))</f>
        <v>1</v>
      </c>
      <c r="C813" t="s">
        <v>206</v>
      </c>
      <c r="D813" t="s">
        <v>581</v>
      </c>
      <c r="E813" t="s">
        <v>28</v>
      </c>
      <c r="F813" t="s">
        <v>21</v>
      </c>
      <c r="G813" t="s">
        <v>156</v>
      </c>
      <c r="H813" t="s">
        <v>71</v>
      </c>
      <c r="I813">
        <v>1</v>
      </c>
      <c r="J813" t="s">
        <v>229</v>
      </c>
      <c r="K813" s="1" t="s">
        <v>119</v>
      </c>
      <c r="L813" s="1" t="s">
        <v>173</v>
      </c>
      <c r="M813" s="1">
        <v>37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ユニフォーム秋保和光ICONIC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2</v>
      </c>
      <c r="C814" t="s">
        <v>206</v>
      </c>
      <c r="D814" t="s">
        <v>581</v>
      </c>
      <c r="E814" t="s">
        <v>28</v>
      </c>
      <c r="F814" t="s">
        <v>21</v>
      </c>
      <c r="G814" t="s">
        <v>156</v>
      </c>
      <c r="H814" t="s">
        <v>71</v>
      </c>
      <c r="I814">
        <v>1</v>
      </c>
      <c r="J814" t="s">
        <v>229</v>
      </c>
      <c r="K814" s="1" t="s">
        <v>195</v>
      </c>
      <c r="L814" s="1" t="s">
        <v>173</v>
      </c>
      <c r="M814">
        <v>42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ユニフォーム秋保和光ICONIC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3</v>
      </c>
      <c r="C815" t="s">
        <v>206</v>
      </c>
      <c r="D815" t="s">
        <v>581</v>
      </c>
      <c r="E815" t="s">
        <v>28</v>
      </c>
      <c r="F815" t="s">
        <v>21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ユニフォーム秋保和光ICONIC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4</v>
      </c>
      <c r="C816" t="s">
        <v>206</v>
      </c>
      <c r="D816" t="s">
        <v>581</v>
      </c>
      <c r="E816" t="s">
        <v>28</v>
      </c>
      <c r="F816" t="s">
        <v>21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173</v>
      </c>
      <c r="M816">
        <v>37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ユニフォーム秋保和光ICONIC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5</v>
      </c>
      <c r="C817" t="s">
        <v>206</v>
      </c>
      <c r="D817" t="s">
        <v>581</v>
      </c>
      <c r="E817" t="s">
        <v>28</v>
      </c>
      <c r="F817" t="s">
        <v>21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ユニフォーム秋保和光ICONIC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6</v>
      </c>
      <c r="C818" t="s">
        <v>206</v>
      </c>
      <c r="D818" t="s">
        <v>581</v>
      </c>
      <c r="E818" t="s">
        <v>28</v>
      </c>
      <c r="F818" t="s">
        <v>21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34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ユニフォーム秋保和光ICONIC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7</v>
      </c>
      <c r="C819" t="s">
        <v>206</v>
      </c>
      <c r="D819" t="s">
        <v>581</v>
      </c>
      <c r="E819" t="s">
        <v>28</v>
      </c>
      <c r="F819" t="s">
        <v>21</v>
      </c>
      <c r="G819" t="s">
        <v>156</v>
      </c>
      <c r="H819" t="s">
        <v>71</v>
      </c>
      <c r="I819">
        <v>1</v>
      </c>
      <c r="J819" t="s">
        <v>229</v>
      </c>
      <c r="K819" s="1" t="s">
        <v>183</v>
      </c>
      <c r="L819" s="1" t="s">
        <v>225</v>
      </c>
      <c r="M819">
        <v>46</v>
      </c>
      <c r="N819">
        <v>0</v>
      </c>
      <c r="O819">
        <v>56</v>
      </c>
      <c r="P819">
        <v>0</v>
      </c>
      <c r="T819" t="str">
        <f>Receive[[#This Row],[服装]]&amp;Receive[[#This Row],[名前]]&amp;Receive[[#This Row],[レアリティ]]</f>
        <v>ユニフォーム秋保和光ICONIC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1</v>
      </c>
      <c r="C820" t="s">
        <v>206</v>
      </c>
      <c r="D820" t="s">
        <v>584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ユニフォーム松島剛ICONIC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2</v>
      </c>
      <c r="C821" t="s">
        <v>206</v>
      </c>
      <c r="D821" t="s">
        <v>584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ユニフォーム松島剛ICONIC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3</v>
      </c>
      <c r="C822" t="s">
        <v>206</v>
      </c>
      <c r="D822" t="s">
        <v>584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ユニフォーム松島剛ICONIC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4</v>
      </c>
      <c r="C823" t="s">
        <v>206</v>
      </c>
      <c r="D823" t="s">
        <v>584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ユニフォーム松島剛ICONIC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5</v>
      </c>
      <c r="C824" t="s">
        <v>206</v>
      </c>
      <c r="D824" t="s">
        <v>584</v>
      </c>
      <c r="E824" t="s">
        <v>28</v>
      </c>
      <c r="F824" t="s">
        <v>26</v>
      </c>
      <c r="G824" t="s">
        <v>156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ユニフォーム松島剛ICONIC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1</v>
      </c>
      <c r="C825" t="s">
        <v>206</v>
      </c>
      <c r="D825" t="s">
        <v>587</v>
      </c>
      <c r="E825" t="s">
        <v>28</v>
      </c>
      <c r="F825" t="s">
        <v>25</v>
      </c>
      <c r="G825" t="s">
        <v>156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ユニフォーム川渡瞬己ICONIC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2</v>
      </c>
      <c r="C826" t="s">
        <v>206</v>
      </c>
      <c r="D826" t="s">
        <v>587</v>
      </c>
      <c r="E826" t="s">
        <v>28</v>
      </c>
      <c r="F826" t="s">
        <v>25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ユニフォーム川渡瞬己ICONIC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3</v>
      </c>
      <c r="C827" t="s">
        <v>206</v>
      </c>
      <c r="D827" t="s">
        <v>587</v>
      </c>
      <c r="E827" t="s">
        <v>28</v>
      </c>
      <c r="F827" t="s">
        <v>25</v>
      </c>
      <c r="G827" t="s">
        <v>156</v>
      </c>
      <c r="H827" t="s">
        <v>71</v>
      </c>
      <c r="I827">
        <v>1</v>
      </c>
      <c r="J827" t="s">
        <v>229</v>
      </c>
      <c r="K827" s="1" t="s">
        <v>231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ユニフォーム川渡瞬己ICONIC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4</v>
      </c>
      <c r="C828" t="s">
        <v>206</v>
      </c>
      <c r="D828" t="s">
        <v>587</v>
      </c>
      <c r="E828" t="s">
        <v>28</v>
      </c>
      <c r="F828" t="s">
        <v>25</v>
      </c>
      <c r="G828" t="s">
        <v>156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ユニフォーム川渡瞬己ICONIC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5</v>
      </c>
      <c r="C829" t="s">
        <v>206</v>
      </c>
      <c r="D829" t="s">
        <v>587</v>
      </c>
      <c r="E829" t="s">
        <v>28</v>
      </c>
      <c r="F829" t="s">
        <v>25</v>
      </c>
      <c r="G829" t="s">
        <v>156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ユニフォーム川渡瞬己ICONIC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6</v>
      </c>
      <c r="C830" t="s">
        <v>206</v>
      </c>
      <c r="D830" t="s">
        <v>587</v>
      </c>
      <c r="E830" t="s">
        <v>28</v>
      </c>
      <c r="F830" t="s">
        <v>25</v>
      </c>
      <c r="G830" t="s">
        <v>156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ユニフォーム川渡瞬己ICONIC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1</v>
      </c>
      <c r="C831" t="s">
        <v>108</v>
      </c>
      <c r="D831" t="s">
        <v>109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ユニフォーム牛島若利ICONIC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2</v>
      </c>
      <c r="C832" t="s">
        <v>108</v>
      </c>
      <c r="D832" t="s">
        <v>109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ユニフォーム牛島若利ICONIC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3</v>
      </c>
      <c r="C833" t="s">
        <v>108</v>
      </c>
      <c r="D833" t="s">
        <v>109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ユニフォーム牛島若利ICONIC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4</v>
      </c>
      <c r="C834" t="s">
        <v>108</v>
      </c>
      <c r="D834" t="s">
        <v>109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ユニフォーム牛島若利ICONIC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5</v>
      </c>
      <c r="C835" t="s">
        <v>108</v>
      </c>
      <c r="D835" t="s">
        <v>109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ユニフォーム牛島若利ICONIC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116</v>
      </c>
      <c r="D836" t="s">
        <v>109</v>
      </c>
      <c r="E836" t="s">
        <v>90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水着牛島若利ICONIC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116</v>
      </c>
      <c r="D837" t="s">
        <v>109</v>
      </c>
      <c r="E837" t="s">
        <v>90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水着牛島若利ICONIC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116</v>
      </c>
      <c r="D838" t="s">
        <v>109</v>
      </c>
      <c r="E838" t="s">
        <v>90</v>
      </c>
      <c r="F838" t="s">
        <v>78</v>
      </c>
      <c r="G838" t="s">
        <v>118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水着牛島若利ICONIC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116</v>
      </c>
      <c r="D839" t="s">
        <v>109</v>
      </c>
      <c r="E839" t="s">
        <v>90</v>
      </c>
      <c r="F839" t="s">
        <v>78</v>
      </c>
      <c r="G839" t="s">
        <v>118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水着牛島若利ICONIC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116</v>
      </c>
      <c r="D840" t="s">
        <v>109</v>
      </c>
      <c r="E840" t="s">
        <v>90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水着牛島若利ICONIC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1</v>
      </c>
      <c r="C841" s="1" t="s">
        <v>935</v>
      </c>
      <c r="D841" t="s">
        <v>109</v>
      </c>
      <c r="E841" s="1" t="s">
        <v>77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新年牛島若利ICONIC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2</v>
      </c>
      <c r="C842" s="1" t="s">
        <v>935</v>
      </c>
      <c r="D842" t="s">
        <v>109</v>
      </c>
      <c r="E842" s="1" t="s">
        <v>77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新年牛島若利ICONIC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3</v>
      </c>
      <c r="C843" s="1" t="s">
        <v>935</v>
      </c>
      <c r="D843" t="s">
        <v>109</v>
      </c>
      <c r="E843" s="1" t="s">
        <v>77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新年牛島若利ICONIC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4</v>
      </c>
      <c r="C844" s="1" t="s">
        <v>935</v>
      </c>
      <c r="D844" t="s">
        <v>109</v>
      </c>
      <c r="E844" s="1" t="s">
        <v>77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新年牛島若利ICONIC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5</v>
      </c>
      <c r="C845" s="1" t="s">
        <v>935</v>
      </c>
      <c r="D845" t="s">
        <v>109</v>
      </c>
      <c r="E845" s="1" t="s">
        <v>77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新年牛島若利ICONIC</v>
      </c>
    </row>
    <row r="846" spans="1:20" x14ac:dyDescent="0.35">
      <c r="A846">
        <f>VLOOKUP(Receive[[#This Row],[No用]],SetNo[[No.用]:[vlookup 用]],2,FALSE)</f>
        <v>146</v>
      </c>
      <c r="B846">
        <f>IF(ROW()=2,1,IF(A845&lt;&gt;Receive[[#This Row],[No]],1,B845+1))</f>
        <v>1</v>
      </c>
      <c r="C846" t="s">
        <v>108</v>
      </c>
      <c r="D846" t="s">
        <v>110</v>
      </c>
      <c r="E846" t="s">
        <v>73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ユニフォーム天童覚ICONIC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2</v>
      </c>
      <c r="C847" t="s">
        <v>108</v>
      </c>
      <c r="D847" t="s">
        <v>110</v>
      </c>
      <c r="E847" t="s">
        <v>73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ユニフォーム天童覚ICONIC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3</v>
      </c>
      <c r="C848" t="s">
        <v>108</v>
      </c>
      <c r="D848" t="s">
        <v>110</v>
      </c>
      <c r="E848" t="s">
        <v>73</v>
      </c>
      <c r="F848" t="s">
        <v>82</v>
      </c>
      <c r="G848" t="s">
        <v>118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ユニフォーム天童覚ICONIC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4</v>
      </c>
      <c r="C849" t="s">
        <v>108</v>
      </c>
      <c r="D849" t="s">
        <v>110</v>
      </c>
      <c r="E849" t="s">
        <v>73</v>
      </c>
      <c r="F849" t="s">
        <v>82</v>
      </c>
      <c r="G849" t="s">
        <v>118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ユニフォーム天童覚ICONIC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5</v>
      </c>
      <c r="C850" t="s">
        <v>108</v>
      </c>
      <c r="D850" t="s">
        <v>110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ユニフォーム天童覚ICONIC</v>
      </c>
    </row>
    <row r="851" spans="1:20" x14ac:dyDescent="0.35">
      <c r="A851">
        <f>VLOOKUP(Receive[[#This Row],[No用]],SetNo[[No.用]:[vlookup 用]],2,FALSE)</f>
        <v>147</v>
      </c>
      <c r="B851">
        <f>IF(ROW()=2,1,IF(A850&lt;&gt;Receive[[#This Row],[No]],1,B850+1))</f>
        <v>1</v>
      </c>
      <c r="C851" t="s">
        <v>116</v>
      </c>
      <c r="D851" t="s">
        <v>110</v>
      </c>
      <c r="E851" t="s">
        <v>90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水着天童覚ICONIC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2</v>
      </c>
      <c r="C852" t="s">
        <v>116</v>
      </c>
      <c r="D852" t="s">
        <v>110</v>
      </c>
      <c r="E852" t="s">
        <v>90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水着天童覚ICONIC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3</v>
      </c>
      <c r="C853" t="s">
        <v>116</v>
      </c>
      <c r="D853" t="s">
        <v>110</v>
      </c>
      <c r="E853" t="s">
        <v>90</v>
      </c>
      <c r="F853" t="s">
        <v>82</v>
      </c>
      <c r="G853" t="s">
        <v>118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水着天童覚ICONIC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4</v>
      </c>
      <c r="C854" t="s">
        <v>116</v>
      </c>
      <c r="D854" t="s">
        <v>110</v>
      </c>
      <c r="E854" t="s">
        <v>90</v>
      </c>
      <c r="F854" t="s">
        <v>82</v>
      </c>
      <c r="G854" t="s">
        <v>118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水着天童覚ICONIC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5</v>
      </c>
      <c r="C855" t="s">
        <v>116</v>
      </c>
      <c r="D855" t="s">
        <v>110</v>
      </c>
      <c r="E855" t="s">
        <v>90</v>
      </c>
      <c r="F855" t="s">
        <v>82</v>
      </c>
      <c r="G855" t="s">
        <v>118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水着天童覚ICONIC</v>
      </c>
    </row>
    <row r="856" spans="1:20" x14ac:dyDescent="0.35">
      <c r="A856">
        <f>VLOOKUP(Receive[[#This Row],[No用]],SetNo[[No.用]:[vlookup 用]],2,FALSE)</f>
        <v>148</v>
      </c>
      <c r="B856">
        <f>IF(ROW()=2,1,IF(A855&lt;&gt;Receive[[#This Row],[No]],1,B855+1))</f>
        <v>1</v>
      </c>
      <c r="C856" s="1" t="s">
        <v>895</v>
      </c>
      <c r="D856" t="s">
        <v>110</v>
      </c>
      <c r="E856" s="1" t="s">
        <v>77</v>
      </c>
      <c r="F856" t="s">
        <v>82</v>
      </c>
      <c r="G856" t="s">
        <v>118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文化祭天童覚ICONIC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2</v>
      </c>
      <c r="C857" s="1" t="s">
        <v>895</v>
      </c>
      <c r="D857" t="s">
        <v>110</v>
      </c>
      <c r="E857" s="1" t="s">
        <v>77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文化祭天童覚ICONIC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3</v>
      </c>
      <c r="C858" s="1" t="s">
        <v>895</v>
      </c>
      <c r="D858" t="s">
        <v>110</v>
      </c>
      <c r="E858" s="1" t="s">
        <v>77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文化祭天童覚ICONIC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4</v>
      </c>
      <c r="C859" s="1" t="s">
        <v>895</v>
      </c>
      <c r="D859" t="s">
        <v>110</v>
      </c>
      <c r="E859" s="1" t="s">
        <v>77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文化祭天童覚ICONIC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5</v>
      </c>
      <c r="C860" s="1" t="s">
        <v>895</v>
      </c>
      <c r="D860" t="s">
        <v>110</v>
      </c>
      <c r="E860" s="1" t="s">
        <v>77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文化祭天童覚ICONIC</v>
      </c>
    </row>
    <row r="861" spans="1:20" x14ac:dyDescent="0.35">
      <c r="A861">
        <f>VLOOKUP(Receive[[#This Row],[No用]],SetNo[[No.用]:[vlookup 用]],2,FALSE)</f>
        <v>149</v>
      </c>
      <c r="B861">
        <f>IF(ROW()=2,1,IF(A860&lt;&gt;Receive[[#This Row],[No]],1,B860+1))</f>
        <v>1</v>
      </c>
      <c r="C861" t="s">
        <v>108</v>
      </c>
      <c r="D861" t="s">
        <v>111</v>
      </c>
      <c r="E861" t="s">
        <v>77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ユニフォーム五色工ICONIC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2</v>
      </c>
      <c r="C862" t="s">
        <v>108</v>
      </c>
      <c r="D862" t="s">
        <v>111</v>
      </c>
      <c r="E862" t="s">
        <v>77</v>
      </c>
      <c r="F862" t="s">
        <v>78</v>
      </c>
      <c r="G862" t="s">
        <v>118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29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ユニフォーム五色工ICONIC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3</v>
      </c>
      <c r="C863" t="s">
        <v>108</v>
      </c>
      <c r="D863" t="s">
        <v>111</v>
      </c>
      <c r="E863" t="s">
        <v>77</v>
      </c>
      <c r="F863" t="s">
        <v>78</v>
      </c>
      <c r="G863" t="s">
        <v>118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ユニフォーム五色工ICONIC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4</v>
      </c>
      <c r="C864" t="s">
        <v>108</v>
      </c>
      <c r="D864" t="s">
        <v>111</v>
      </c>
      <c r="E864" t="s">
        <v>77</v>
      </c>
      <c r="F864" t="s">
        <v>78</v>
      </c>
      <c r="G864" t="s">
        <v>118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ユニフォーム五色工ICONIC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5</v>
      </c>
      <c r="C865" t="s">
        <v>108</v>
      </c>
      <c r="D865" t="s">
        <v>111</v>
      </c>
      <c r="E865" t="s">
        <v>77</v>
      </c>
      <c r="F865" t="s">
        <v>78</v>
      </c>
      <c r="G865" t="s">
        <v>118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ユニフォーム五色工ICONIC</v>
      </c>
    </row>
    <row r="866" spans="1:20" x14ac:dyDescent="0.35">
      <c r="A866">
        <f>VLOOKUP(Receive[[#This Row],[No用]],SetNo[[No.用]:[vlookup 用]],2,FALSE)</f>
        <v>150</v>
      </c>
      <c r="B866">
        <f>IF(ROW()=2,1,IF(A865&lt;&gt;Receive[[#This Row],[No]],1,B865+1))</f>
        <v>1</v>
      </c>
      <c r="C866" s="1" t="s">
        <v>702</v>
      </c>
      <c r="D866" t="s">
        <v>111</v>
      </c>
      <c r="E866" s="1" t="s">
        <v>73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職業体験五色工ICONIC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2</v>
      </c>
      <c r="C867" s="1" t="s">
        <v>702</v>
      </c>
      <c r="D867" t="s">
        <v>111</v>
      </c>
      <c r="E867" s="1" t="s">
        <v>73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職業体験五色工ICONIC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3</v>
      </c>
      <c r="C868" s="1" t="s">
        <v>702</v>
      </c>
      <c r="D868" t="s">
        <v>111</v>
      </c>
      <c r="E868" s="1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職業体験五色工ICONIC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4</v>
      </c>
      <c r="C869" s="1" t="s">
        <v>702</v>
      </c>
      <c r="D869" t="s">
        <v>111</v>
      </c>
      <c r="E869" s="1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職業体験五色工ICONIC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5</v>
      </c>
      <c r="C870" s="1" t="s">
        <v>702</v>
      </c>
      <c r="D870" t="s">
        <v>111</v>
      </c>
      <c r="E870" s="1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職業体験五色工ICONIC</v>
      </c>
    </row>
    <row r="871" spans="1:20" x14ac:dyDescent="0.35">
      <c r="A871">
        <f>VLOOKUP(Receive[[#This Row],[No用]],SetNo[[No.用]:[vlookup 用]],2,FALSE)</f>
        <v>151</v>
      </c>
      <c r="B871">
        <f>IF(ROW()=2,1,IF(A870&lt;&gt;Receive[[#This Row],[No]],1,B870+1))</f>
        <v>1</v>
      </c>
      <c r="C871" t="s">
        <v>108</v>
      </c>
      <c r="D871" t="s">
        <v>112</v>
      </c>
      <c r="E871" t="s">
        <v>73</v>
      </c>
      <c r="F871" t="s">
        <v>74</v>
      </c>
      <c r="G871" t="s">
        <v>118</v>
      </c>
      <c r="H871" t="s">
        <v>71</v>
      </c>
      <c r="I871">
        <v>1</v>
      </c>
      <c r="J871" t="s">
        <v>229</v>
      </c>
      <c r="K871" t="s">
        <v>263</v>
      </c>
      <c r="L871" t="s">
        <v>264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ユニフォーム白布賢二郎ICONIC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2</v>
      </c>
      <c r="C872" t="s">
        <v>108</v>
      </c>
      <c r="D872" t="s">
        <v>112</v>
      </c>
      <c r="E872" t="s">
        <v>73</v>
      </c>
      <c r="F872" t="s">
        <v>74</v>
      </c>
      <c r="G872" t="s">
        <v>118</v>
      </c>
      <c r="H872" t="s">
        <v>71</v>
      </c>
      <c r="I872">
        <v>1</v>
      </c>
      <c r="J872" t="s">
        <v>229</v>
      </c>
      <c r="K872" t="s">
        <v>265</v>
      </c>
      <c r="L872" t="s">
        <v>264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ユニフォーム白布賢二郎ICONIC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3</v>
      </c>
      <c r="C873" t="s">
        <v>108</v>
      </c>
      <c r="D873" t="s">
        <v>112</v>
      </c>
      <c r="E873" t="s">
        <v>73</v>
      </c>
      <c r="F873" t="s">
        <v>74</v>
      </c>
      <c r="G873" t="s">
        <v>118</v>
      </c>
      <c r="H873" t="s">
        <v>71</v>
      </c>
      <c r="I873">
        <v>1</v>
      </c>
      <c r="J873" t="s">
        <v>229</v>
      </c>
      <c r="K873" t="s">
        <v>266</v>
      </c>
      <c r="L873" t="s">
        <v>264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ユニフォーム白布賢二郎ICONIC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4</v>
      </c>
      <c r="C874" t="s">
        <v>108</v>
      </c>
      <c r="D874" t="s">
        <v>112</v>
      </c>
      <c r="E874" t="s">
        <v>73</v>
      </c>
      <c r="F874" t="s">
        <v>74</v>
      </c>
      <c r="G874" t="s">
        <v>118</v>
      </c>
      <c r="H874" t="s">
        <v>71</v>
      </c>
      <c r="I874">
        <v>1</v>
      </c>
      <c r="J874" t="s">
        <v>229</v>
      </c>
      <c r="K874" t="s">
        <v>267</v>
      </c>
      <c r="L874" t="s">
        <v>264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ユニフォーム白布賢二郎ICONIC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5</v>
      </c>
      <c r="C875" t="s">
        <v>108</v>
      </c>
      <c r="D875" t="s">
        <v>112</v>
      </c>
      <c r="E875" t="s">
        <v>73</v>
      </c>
      <c r="F875" t="s">
        <v>74</v>
      </c>
      <c r="G875" t="s">
        <v>118</v>
      </c>
      <c r="H875" t="s">
        <v>71</v>
      </c>
      <c r="I875">
        <v>1</v>
      </c>
      <c r="J875" t="s">
        <v>229</v>
      </c>
      <c r="K875" t="s">
        <v>268</v>
      </c>
      <c r="L875" t="s">
        <v>264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ユニフォーム白布賢二郎ICONIC</v>
      </c>
    </row>
    <row r="876" spans="1:20" x14ac:dyDescent="0.35">
      <c r="A876">
        <f>VLOOKUP(Receive[[#This Row],[No用]],SetNo[[No.用]:[vlookup 用]],2,FALSE)</f>
        <v>152</v>
      </c>
      <c r="B876">
        <f>IF(ROW()=2,1,IF(A875&lt;&gt;Receive[[#This Row],[No]],1,B875+1))</f>
        <v>1</v>
      </c>
      <c r="C876" t="s">
        <v>391</v>
      </c>
      <c r="D876" t="s">
        <v>392</v>
      </c>
      <c r="E876" t="s">
        <v>24</v>
      </c>
      <c r="F876" t="s">
        <v>31</v>
      </c>
      <c r="G876" t="s">
        <v>157</v>
      </c>
      <c r="H876" t="s">
        <v>71</v>
      </c>
      <c r="I876">
        <v>1</v>
      </c>
      <c r="J876" t="s">
        <v>229</v>
      </c>
      <c r="K876" t="s">
        <v>263</v>
      </c>
      <c r="L876" t="s">
        <v>264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探偵白布賢二郎ICONIC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2</v>
      </c>
      <c r="C877" t="s">
        <v>391</v>
      </c>
      <c r="D877" t="s">
        <v>392</v>
      </c>
      <c r="E877" t="s">
        <v>24</v>
      </c>
      <c r="F877" t="s">
        <v>31</v>
      </c>
      <c r="G877" t="s">
        <v>157</v>
      </c>
      <c r="H877" t="s">
        <v>71</v>
      </c>
      <c r="I877">
        <v>1</v>
      </c>
      <c r="J877" t="s">
        <v>229</v>
      </c>
      <c r="K877" t="s">
        <v>265</v>
      </c>
      <c r="L877" t="s">
        <v>264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探偵白布賢二郎ICONIC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3</v>
      </c>
      <c r="C878" t="s">
        <v>391</v>
      </c>
      <c r="D878" t="s">
        <v>392</v>
      </c>
      <c r="E878" t="s">
        <v>24</v>
      </c>
      <c r="F878" t="s">
        <v>31</v>
      </c>
      <c r="G878" t="s">
        <v>157</v>
      </c>
      <c r="H878" t="s">
        <v>71</v>
      </c>
      <c r="I878">
        <v>1</v>
      </c>
      <c r="J878" t="s">
        <v>229</v>
      </c>
      <c r="K878" t="s">
        <v>266</v>
      </c>
      <c r="L878" t="s">
        <v>264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探偵白布賢二郎ICONIC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4</v>
      </c>
      <c r="C879" t="s">
        <v>391</v>
      </c>
      <c r="D879" t="s">
        <v>392</v>
      </c>
      <c r="E879" t="s">
        <v>24</v>
      </c>
      <c r="F879" t="s">
        <v>31</v>
      </c>
      <c r="G879" t="s">
        <v>157</v>
      </c>
      <c r="H879" t="s">
        <v>71</v>
      </c>
      <c r="I879">
        <v>1</v>
      </c>
      <c r="J879" t="s">
        <v>16</v>
      </c>
      <c r="K879" t="s">
        <v>267</v>
      </c>
      <c r="L879" t="s">
        <v>264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探偵白布賢二郎ICONIC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5</v>
      </c>
      <c r="C880" t="s">
        <v>391</v>
      </c>
      <c r="D880" t="s">
        <v>392</v>
      </c>
      <c r="E880" t="s">
        <v>24</v>
      </c>
      <c r="F880" t="s">
        <v>31</v>
      </c>
      <c r="G880" t="s">
        <v>157</v>
      </c>
      <c r="H880" t="s">
        <v>71</v>
      </c>
      <c r="I880">
        <v>1</v>
      </c>
      <c r="J880" t="s">
        <v>16</v>
      </c>
      <c r="K880" t="s">
        <v>268</v>
      </c>
      <c r="L880" t="s">
        <v>264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探偵白布賢二郎ICONIC</v>
      </c>
    </row>
    <row r="881" spans="1:20" x14ac:dyDescent="0.35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113</v>
      </c>
      <c r="E88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16</v>
      </c>
      <c r="K881" s="1" t="s">
        <v>119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ユニフォーム大平獅音ICONIC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113</v>
      </c>
      <c r="E882" t="s">
        <v>73</v>
      </c>
      <c r="F882" t="s">
        <v>78</v>
      </c>
      <c r="G882" t="s">
        <v>118</v>
      </c>
      <c r="H882" t="s">
        <v>71</v>
      </c>
      <c r="I882">
        <v>1</v>
      </c>
      <c r="J882" t="s">
        <v>16</v>
      </c>
      <c r="K882" s="1" t="s">
        <v>163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ユニフォーム大平獅音ICONIC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113</v>
      </c>
      <c r="E883" t="s">
        <v>73</v>
      </c>
      <c r="F883" t="s">
        <v>78</v>
      </c>
      <c r="G883" t="s">
        <v>118</v>
      </c>
      <c r="H883" t="s">
        <v>71</v>
      </c>
      <c r="I883">
        <v>1</v>
      </c>
      <c r="J883" t="s">
        <v>16</v>
      </c>
      <c r="K883" s="1" t="s">
        <v>231</v>
      </c>
      <c r="L883" t="s">
        <v>264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ユニフォーム大平獅音ICONIC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113</v>
      </c>
      <c r="E884" t="s">
        <v>73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120</v>
      </c>
      <c r="L884" t="s">
        <v>264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ユニフォーム大平獅音ICONIC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113</v>
      </c>
      <c r="E885" t="s">
        <v>73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164</v>
      </c>
      <c r="L885" t="s">
        <v>264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ユニフォーム大平獅音ICONIC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6</v>
      </c>
      <c r="C886" t="s">
        <v>108</v>
      </c>
      <c r="D886" t="s">
        <v>113</v>
      </c>
      <c r="E886" t="s">
        <v>73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165</v>
      </c>
      <c r="L886" t="s">
        <v>264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ユニフォーム大平獅音ICONIC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1</v>
      </c>
      <c r="C887" t="s">
        <v>108</v>
      </c>
      <c r="D887" t="s">
        <v>114</v>
      </c>
      <c r="E887" t="s">
        <v>73</v>
      </c>
      <c r="F887" t="s">
        <v>82</v>
      </c>
      <c r="G887" t="s">
        <v>118</v>
      </c>
      <c r="H887" t="s">
        <v>71</v>
      </c>
      <c r="I887">
        <v>1</v>
      </c>
      <c r="J887" t="s">
        <v>229</v>
      </c>
      <c r="K887" s="1" t="s">
        <v>119</v>
      </c>
      <c r="L887" t="s">
        <v>264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ユニフォーム川西太一ICONIC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2</v>
      </c>
      <c r="C888" t="s">
        <v>108</v>
      </c>
      <c r="D888" t="s">
        <v>114</v>
      </c>
      <c r="E888" t="s">
        <v>73</v>
      </c>
      <c r="F888" t="s">
        <v>82</v>
      </c>
      <c r="G888" t="s">
        <v>118</v>
      </c>
      <c r="H888" t="s">
        <v>71</v>
      </c>
      <c r="I888">
        <v>1</v>
      </c>
      <c r="J888" t="s">
        <v>229</v>
      </c>
      <c r="K888" s="1" t="s">
        <v>163</v>
      </c>
      <c r="L888" t="s">
        <v>264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ユニフォーム川西太一ICONIC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3</v>
      </c>
      <c r="C889" t="s">
        <v>108</v>
      </c>
      <c r="D889" t="s">
        <v>114</v>
      </c>
      <c r="E889" t="s">
        <v>73</v>
      </c>
      <c r="F889" t="s">
        <v>82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t="s">
        <v>264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ユニフォーム川西太一ICONIC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4</v>
      </c>
      <c r="C890" t="s">
        <v>108</v>
      </c>
      <c r="D890" t="s">
        <v>114</v>
      </c>
      <c r="E890" t="s">
        <v>73</v>
      </c>
      <c r="F890" t="s">
        <v>82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t="s">
        <v>264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ユニフォーム川西太一ICONIC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5</v>
      </c>
      <c r="C891" t="s">
        <v>108</v>
      </c>
      <c r="D891" t="s">
        <v>114</v>
      </c>
      <c r="E891" t="s">
        <v>73</v>
      </c>
      <c r="F891" t="s">
        <v>82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ユニフォーム川西太一ICONIC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s="1" t="s">
        <v>1122</v>
      </c>
      <c r="D892" s="1" t="s">
        <v>114</v>
      </c>
      <c r="E892" s="1" t="s">
        <v>90</v>
      </c>
      <c r="F892" s="1" t="s">
        <v>82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119</v>
      </c>
      <c r="L892" t="s">
        <v>264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路地裏川西太一ICONIC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s="1" t="s">
        <v>1122</v>
      </c>
      <c r="D893" s="1" t="s">
        <v>114</v>
      </c>
      <c r="E893" s="1" t="s">
        <v>90</v>
      </c>
      <c r="F893" s="1" t="s">
        <v>82</v>
      </c>
      <c r="G893" s="1" t="s">
        <v>118</v>
      </c>
      <c r="H893" s="1" t="s">
        <v>71</v>
      </c>
      <c r="I893">
        <v>1</v>
      </c>
      <c r="J893" t="s">
        <v>229</v>
      </c>
      <c r="K893" s="1" t="s">
        <v>163</v>
      </c>
      <c r="L893" t="s">
        <v>264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路地裏川西太一ICONIC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s="1" t="s">
        <v>1122</v>
      </c>
      <c r="D894" s="1" t="s">
        <v>114</v>
      </c>
      <c r="E894" s="1" t="s">
        <v>90</v>
      </c>
      <c r="F894" s="1" t="s">
        <v>82</v>
      </c>
      <c r="G894" s="1" t="s">
        <v>118</v>
      </c>
      <c r="H894" s="1" t="s">
        <v>71</v>
      </c>
      <c r="I894">
        <v>1</v>
      </c>
      <c r="J894" t="s">
        <v>229</v>
      </c>
      <c r="K894" s="1" t="s">
        <v>120</v>
      </c>
      <c r="L894" t="s">
        <v>264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路地裏川西太一ICONIC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s="1" t="s">
        <v>1122</v>
      </c>
      <c r="D895" s="1" t="s">
        <v>114</v>
      </c>
      <c r="E895" s="1" t="s">
        <v>90</v>
      </c>
      <c r="F895" s="1" t="s">
        <v>82</v>
      </c>
      <c r="G895" s="1" t="s">
        <v>118</v>
      </c>
      <c r="H895" s="1" t="s">
        <v>71</v>
      </c>
      <c r="I895">
        <v>1</v>
      </c>
      <c r="J895" t="s">
        <v>229</v>
      </c>
      <c r="K895" s="1" t="s">
        <v>164</v>
      </c>
      <c r="L895" t="s">
        <v>264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路地裏川西太一ICONIC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s="1" t="s">
        <v>1122</v>
      </c>
      <c r="D896" s="1" t="s">
        <v>114</v>
      </c>
      <c r="E896" s="1" t="s">
        <v>90</v>
      </c>
      <c r="F896" s="1" t="s">
        <v>82</v>
      </c>
      <c r="G896" s="1" t="s">
        <v>118</v>
      </c>
      <c r="H896" s="1" t="s">
        <v>71</v>
      </c>
      <c r="I896">
        <v>1</v>
      </c>
      <c r="J896" t="s">
        <v>229</v>
      </c>
      <c r="K896" s="1" t="s">
        <v>165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路地裏川西太一ICONIC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t="s">
        <v>108</v>
      </c>
      <c r="D897" s="1" t="s">
        <v>662</v>
      </c>
      <c r="E897" t="s">
        <v>73</v>
      </c>
      <c r="F897" t="s">
        <v>74</v>
      </c>
      <c r="G897" t="s">
        <v>118</v>
      </c>
      <c r="H897" t="s">
        <v>71</v>
      </c>
      <c r="I897">
        <v>1</v>
      </c>
      <c r="J897" t="s">
        <v>229</v>
      </c>
      <c r="K897" s="1" t="s">
        <v>119</v>
      </c>
      <c r="L897" t="s">
        <v>264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ユニフォーム瀬見英太ICONIC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t="s">
        <v>108</v>
      </c>
      <c r="D898" s="1" t="s">
        <v>662</v>
      </c>
      <c r="E898" t="s">
        <v>73</v>
      </c>
      <c r="F898" t="s">
        <v>74</v>
      </c>
      <c r="G898" t="s">
        <v>118</v>
      </c>
      <c r="H898" t="s">
        <v>71</v>
      </c>
      <c r="I898">
        <v>1</v>
      </c>
      <c r="J898" t="s">
        <v>229</v>
      </c>
      <c r="K898" s="1" t="s">
        <v>163</v>
      </c>
      <c r="L898" t="s">
        <v>264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ユニフォーム瀬見英太ICONIC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t="s">
        <v>108</v>
      </c>
      <c r="D899" s="1" t="s">
        <v>662</v>
      </c>
      <c r="E899" t="s">
        <v>73</v>
      </c>
      <c r="F899" t="s">
        <v>74</v>
      </c>
      <c r="G899" t="s">
        <v>118</v>
      </c>
      <c r="H899" t="s">
        <v>71</v>
      </c>
      <c r="I899">
        <v>1</v>
      </c>
      <c r="J899" t="s">
        <v>229</v>
      </c>
      <c r="K899" s="1" t="s">
        <v>120</v>
      </c>
      <c r="L899" t="s">
        <v>264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ユニフォーム瀬見英太ICONIC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t="s">
        <v>108</v>
      </c>
      <c r="D900" s="1" t="s">
        <v>662</v>
      </c>
      <c r="E900" t="s">
        <v>73</v>
      </c>
      <c r="F900" t="s">
        <v>74</v>
      </c>
      <c r="G900" t="s">
        <v>118</v>
      </c>
      <c r="H900" t="s">
        <v>71</v>
      </c>
      <c r="I900">
        <v>1</v>
      </c>
      <c r="J900" t="s">
        <v>229</v>
      </c>
      <c r="K900" s="1" t="s">
        <v>164</v>
      </c>
      <c r="L900" t="s">
        <v>264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ユニフォーム瀬見英太ICONIC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t="s">
        <v>108</v>
      </c>
      <c r="D901" s="1" t="s">
        <v>662</v>
      </c>
      <c r="E901" t="s">
        <v>73</v>
      </c>
      <c r="F901" t="s">
        <v>74</v>
      </c>
      <c r="G901" t="s">
        <v>118</v>
      </c>
      <c r="H901" t="s">
        <v>71</v>
      </c>
      <c r="I901">
        <v>1</v>
      </c>
      <c r="J901" t="s">
        <v>229</v>
      </c>
      <c r="K901" s="1" t="s">
        <v>165</v>
      </c>
      <c r="L901" t="s">
        <v>264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ユニフォーム瀬見英太ICONIC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s="1" t="s">
        <v>988</v>
      </c>
      <c r="D902" s="1" t="s">
        <v>662</v>
      </c>
      <c r="E902" s="1" t="s">
        <v>90</v>
      </c>
      <c r="F902" t="s">
        <v>74</v>
      </c>
      <c r="G902" t="s">
        <v>118</v>
      </c>
      <c r="H902" t="s">
        <v>71</v>
      </c>
      <c r="I902">
        <v>1</v>
      </c>
      <c r="J902" t="s">
        <v>229</v>
      </c>
      <c r="K902" s="1" t="s">
        <v>119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雪遊び瀬見英太ICONIC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s="1" t="s">
        <v>988</v>
      </c>
      <c r="D903" s="1" t="s">
        <v>662</v>
      </c>
      <c r="E903" s="1" t="s">
        <v>90</v>
      </c>
      <c r="F903" t="s">
        <v>74</v>
      </c>
      <c r="G903" t="s">
        <v>118</v>
      </c>
      <c r="H903" t="s">
        <v>71</v>
      </c>
      <c r="I903">
        <v>1</v>
      </c>
      <c r="J903" t="s">
        <v>229</v>
      </c>
      <c r="K903" s="1" t="s">
        <v>163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雪遊び瀬見英太ICONIC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s="1" t="s">
        <v>988</v>
      </c>
      <c r="D904" s="1" t="s">
        <v>662</v>
      </c>
      <c r="E904" s="1" t="s">
        <v>90</v>
      </c>
      <c r="F904" t="s">
        <v>74</v>
      </c>
      <c r="G904" t="s">
        <v>118</v>
      </c>
      <c r="H904" t="s">
        <v>71</v>
      </c>
      <c r="I904">
        <v>1</v>
      </c>
      <c r="J904" t="s">
        <v>229</v>
      </c>
      <c r="K904" s="1" t="s">
        <v>120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雪遊び瀬見英太ICONIC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s="1" t="s">
        <v>988</v>
      </c>
      <c r="D905" s="1" t="s">
        <v>662</v>
      </c>
      <c r="E905" s="1" t="s">
        <v>90</v>
      </c>
      <c r="F905" t="s">
        <v>74</v>
      </c>
      <c r="G905" t="s">
        <v>118</v>
      </c>
      <c r="H905" t="s">
        <v>71</v>
      </c>
      <c r="I905">
        <v>1</v>
      </c>
      <c r="J905" t="s">
        <v>229</v>
      </c>
      <c r="K905" s="1" t="s">
        <v>164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雪遊び瀬見英太ICONIC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s="1" t="s">
        <v>988</v>
      </c>
      <c r="D906" s="1" t="s">
        <v>662</v>
      </c>
      <c r="E906" s="1" t="s">
        <v>90</v>
      </c>
      <c r="F906" t="s">
        <v>74</v>
      </c>
      <c r="G906" t="s">
        <v>118</v>
      </c>
      <c r="H906" t="s">
        <v>71</v>
      </c>
      <c r="I906">
        <v>1</v>
      </c>
      <c r="J906" t="s">
        <v>229</v>
      </c>
      <c r="K906" s="1" t="s">
        <v>165</v>
      </c>
      <c r="L906" t="s">
        <v>264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雪遊び瀬見英太ICONIC</v>
      </c>
    </row>
    <row r="907" spans="1:20" x14ac:dyDescent="0.35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108</v>
      </c>
      <c r="D907" t="s">
        <v>115</v>
      </c>
      <c r="E907" t="s">
        <v>73</v>
      </c>
      <c r="F907" t="s">
        <v>80</v>
      </c>
      <c r="G907" t="s">
        <v>118</v>
      </c>
      <c r="H907" t="s">
        <v>71</v>
      </c>
      <c r="I907">
        <v>1</v>
      </c>
      <c r="J907" t="s">
        <v>229</v>
      </c>
      <c r="K907" s="1" t="s">
        <v>119</v>
      </c>
      <c r="L907" s="1" t="s">
        <v>173</v>
      </c>
      <c r="M907">
        <v>34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ユニフォーム山形隼人ICONIC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108</v>
      </c>
      <c r="D908" t="s">
        <v>115</v>
      </c>
      <c r="E908" t="s">
        <v>73</v>
      </c>
      <c r="F908" t="s">
        <v>80</v>
      </c>
      <c r="G908" t="s">
        <v>118</v>
      </c>
      <c r="H908" t="s">
        <v>71</v>
      </c>
      <c r="I908">
        <v>1</v>
      </c>
      <c r="J908" t="s">
        <v>229</v>
      </c>
      <c r="K908" s="1" t="s">
        <v>195</v>
      </c>
      <c r="L908" s="1" t="s">
        <v>178</v>
      </c>
      <c r="M908">
        <v>39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ユニフォーム山形隼人ICONIC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108</v>
      </c>
      <c r="D909" t="s">
        <v>115</v>
      </c>
      <c r="E909" t="s">
        <v>73</v>
      </c>
      <c r="F909" t="s">
        <v>80</v>
      </c>
      <c r="G909" t="s">
        <v>118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ユニフォーム山形隼人ICONIC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108</v>
      </c>
      <c r="D910" t="s">
        <v>115</v>
      </c>
      <c r="E910" t="s">
        <v>73</v>
      </c>
      <c r="F910" t="s">
        <v>80</v>
      </c>
      <c r="G910" t="s">
        <v>118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34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ユニフォーム山形隼人ICONIC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108</v>
      </c>
      <c r="D911" t="s">
        <v>115</v>
      </c>
      <c r="E911" t="s">
        <v>73</v>
      </c>
      <c r="F911" t="s">
        <v>80</v>
      </c>
      <c r="G911" t="s">
        <v>118</v>
      </c>
      <c r="H911" t="s">
        <v>71</v>
      </c>
      <c r="I911">
        <v>1</v>
      </c>
      <c r="J911" t="s">
        <v>229</v>
      </c>
      <c r="K911" s="1" t="s">
        <v>120</v>
      </c>
      <c r="L911" s="1" t="s">
        <v>173</v>
      </c>
      <c r="M911">
        <v>34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ユニフォーム山形隼人ICONIC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t="s">
        <v>108</v>
      </c>
      <c r="D912" t="s">
        <v>115</v>
      </c>
      <c r="E912" t="s">
        <v>73</v>
      </c>
      <c r="F912" t="s">
        <v>80</v>
      </c>
      <c r="G912" t="s">
        <v>118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ユニフォーム山形隼人ICONIC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t="s">
        <v>108</v>
      </c>
      <c r="D913" t="s">
        <v>115</v>
      </c>
      <c r="E913" t="s">
        <v>73</v>
      </c>
      <c r="F913" t="s">
        <v>80</v>
      </c>
      <c r="G913" t="s">
        <v>118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34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ユニフォーム山形隼人ICONIC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8</v>
      </c>
      <c r="C914" t="s">
        <v>108</v>
      </c>
      <c r="D914" t="s">
        <v>115</v>
      </c>
      <c r="E914" t="s">
        <v>73</v>
      </c>
      <c r="F914" t="s">
        <v>80</v>
      </c>
      <c r="G914" t="s">
        <v>118</v>
      </c>
      <c r="H914" t="s">
        <v>71</v>
      </c>
      <c r="I914">
        <v>1</v>
      </c>
      <c r="J914" t="s">
        <v>229</v>
      </c>
      <c r="K914" s="1" t="s">
        <v>183</v>
      </c>
      <c r="L914" s="1" t="s">
        <v>225</v>
      </c>
      <c r="M914">
        <v>51</v>
      </c>
      <c r="N914">
        <v>0</v>
      </c>
      <c r="O914">
        <v>62</v>
      </c>
      <c r="P914">
        <v>0</v>
      </c>
      <c r="T914" t="str">
        <f>Receive[[#This Row],[服装]]&amp;Receive[[#This Row],[名前]]&amp;Receive[[#This Row],[レアリティ]]</f>
        <v>ユニフォーム山形隼人ICONIC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t="s">
        <v>108</v>
      </c>
      <c r="D915" t="s">
        <v>186</v>
      </c>
      <c r="E915" t="s">
        <v>77</v>
      </c>
      <c r="F915" t="s">
        <v>74</v>
      </c>
      <c r="G915" t="s">
        <v>185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31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ユニフォーム宮侑ICONIC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t="s">
        <v>108</v>
      </c>
      <c r="D916" t="s">
        <v>186</v>
      </c>
      <c r="E916" t="s">
        <v>77</v>
      </c>
      <c r="F916" t="s">
        <v>74</v>
      </c>
      <c r="G916" t="s">
        <v>185</v>
      </c>
      <c r="H916" t="s">
        <v>71</v>
      </c>
      <c r="I916">
        <v>1</v>
      </c>
      <c r="J916" t="s">
        <v>229</v>
      </c>
      <c r="K916" s="1" t="s">
        <v>195</v>
      </c>
      <c r="L916" s="1" t="s">
        <v>178</v>
      </c>
      <c r="M916">
        <v>34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ユニフォーム宮侑ICONIC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t="s">
        <v>108</v>
      </c>
      <c r="D917" t="s">
        <v>186</v>
      </c>
      <c r="E917" t="s">
        <v>77</v>
      </c>
      <c r="F917" t="s">
        <v>74</v>
      </c>
      <c r="G917" t="s">
        <v>185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ユニフォーム宮侑ICONIC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t="s">
        <v>108</v>
      </c>
      <c r="D918" t="s">
        <v>186</v>
      </c>
      <c r="E918" t="s">
        <v>77</v>
      </c>
      <c r="F918" t="s">
        <v>74</v>
      </c>
      <c r="G918" t="s">
        <v>185</v>
      </c>
      <c r="H918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ユニフォーム宮侑ICONIC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t="s">
        <v>108</v>
      </c>
      <c r="D919" t="s">
        <v>186</v>
      </c>
      <c r="E919" t="s">
        <v>77</v>
      </c>
      <c r="F919" t="s">
        <v>74</v>
      </c>
      <c r="G919" t="s">
        <v>185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31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ユニフォーム宮侑ICONIC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6</v>
      </c>
      <c r="C920" t="s">
        <v>108</v>
      </c>
      <c r="D920" t="s">
        <v>186</v>
      </c>
      <c r="E920" t="s">
        <v>77</v>
      </c>
      <c r="F920" t="s">
        <v>74</v>
      </c>
      <c r="G920" t="s">
        <v>185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ユニフォーム宮侑ICONIC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s="1" t="s">
        <v>895</v>
      </c>
      <c r="D921" t="s">
        <v>186</v>
      </c>
      <c r="E921" s="1" t="s">
        <v>73</v>
      </c>
      <c r="F921" t="s">
        <v>74</v>
      </c>
      <c r="G921" t="s">
        <v>185</v>
      </c>
      <c r="H921" t="s">
        <v>71</v>
      </c>
      <c r="I921">
        <v>1</v>
      </c>
      <c r="J921" t="s">
        <v>229</v>
      </c>
      <c r="K921" s="1" t="s">
        <v>119</v>
      </c>
      <c r="L921" s="1" t="s">
        <v>178</v>
      </c>
      <c r="M921">
        <v>34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文化祭宮侑ICONIC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s="1" t="s">
        <v>895</v>
      </c>
      <c r="D922" t="s">
        <v>186</v>
      </c>
      <c r="E922" s="1" t="s">
        <v>73</v>
      </c>
      <c r="F922" t="s">
        <v>74</v>
      </c>
      <c r="G922" t="s">
        <v>185</v>
      </c>
      <c r="H922" t="s">
        <v>71</v>
      </c>
      <c r="I922">
        <v>1</v>
      </c>
      <c r="J922" t="s">
        <v>229</v>
      </c>
      <c r="K922" s="1" t="s">
        <v>195</v>
      </c>
      <c r="L922" s="1" t="s">
        <v>178</v>
      </c>
      <c r="M922">
        <v>34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文化祭宮侑ICONIC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s="1" t="s">
        <v>895</v>
      </c>
      <c r="D923" t="s">
        <v>186</v>
      </c>
      <c r="E923" s="1" t="s">
        <v>73</v>
      </c>
      <c r="F923" t="s">
        <v>74</v>
      </c>
      <c r="G923" t="s">
        <v>185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文化祭宮侑ICONIC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s="1" t="s">
        <v>895</v>
      </c>
      <c r="D924" t="s">
        <v>186</v>
      </c>
      <c r="E924" s="1" t="s">
        <v>73</v>
      </c>
      <c r="F924" t="s">
        <v>74</v>
      </c>
      <c r="G924" t="s">
        <v>185</v>
      </c>
      <c r="H924" t="s">
        <v>71</v>
      </c>
      <c r="I924">
        <v>1</v>
      </c>
      <c r="J924" t="s">
        <v>229</v>
      </c>
      <c r="K924" s="1" t="s">
        <v>231</v>
      </c>
      <c r="L924" s="1" t="s">
        <v>162</v>
      </c>
      <c r="M924">
        <v>31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文化祭宮侑ICONIC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s="1" t="s">
        <v>895</v>
      </c>
      <c r="D925" t="s">
        <v>186</v>
      </c>
      <c r="E925" s="1" t="s">
        <v>73</v>
      </c>
      <c r="F925" t="s">
        <v>74</v>
      </c>
      <c r="G925" t="s">
        <v>185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文化祭宮侑ICONIC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6</v>
      </c>
      <c r="C926" s="1" t="s">
        <v>895</v>
      </c>
      <c r="D926" t="s">
        <v>186</v>
      </c>
      <c r="E926" s="1" t="s">
        <v>73</v>
      </c>
      <c r="F926" t="s">
        <v>74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文化祭宮侑ICONIC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7</v>
      </c>
      <c r="C927" s="1" t="s">
        <v>895</v>
      </c>
      <c r="D927" t="s">
        <v>186</v>
      </c>
      <c r="E927" s="1" t="s">
        <v>73</v>
      </c>
      <c r="F927" t="s">
        <v>74</v>
      </c>
      <c r="G927" t="s">
        <v>185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文化祭宮侑ICONIC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1</v>
      </c>
      <c r="C928" s="1" t="s">
        <v>1071</v>
      </c>
      <c r="D928" s="1" t="s">
        <v>186</v>
      </c>
      <c r="E928" s="1" t="s">
        <v>90</v>
      </c>
      <c r="F928" s="1" t="s">
        <v>74</v>
      </c>
      <c r="G928" s="1" t="s">
        <v>185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178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RPG宮侑ICONIC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2</v>
      </c>
      <c r="C929" s="1" t="s">
        <v>1071</v>
      </c>
      <c r="D929" s="1" t="s">
        <v>186</v>
      </c>
      <c r="E929" s="1" t="s">
        <v>90</v>
      </c>
      <c r="F929" s="1" t="s">
        <v>74</v>
      </c>
      <c r="G929" s="1" t="s">
        <v>185</v>
      </c>
      <c r="H929" s="1" t="s">
        <v>71</v>
      </c>
      <c r="I929">
        <v>1</v>
      </c>
      <c r="J929" t="s">
        <v>229</v>
      </c>
      <c r="K929" s="1" t="s">
        <v>195</v>
      </c>
      <c r="L929" s="1" t="s">
        <v>173</v>
      </c>
      <c r="M929">
        <v>37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RPG宮侑ICONIC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3</v>
      </c>
      <c r="C930" s="1" t="s">
        <v>1071</v>
      </c>
      <c r="D930" s="1" t="s">
        <v>186</v>
      </c>
      <c r="E930" s="1" t="s">
        <v>90</v>
      </c>
      <c r="F930" s="1" t="s">
        <v>74</v>
      </c>
      <c r="G930" s="1" t="s">
        <v>185</v>
      </c>
      <c r="H930" s="1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RPG宮侑ICONIC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4</v>
      </c>
      <c r="C931" s="1" t="s">
        <v>1071</v>
      </c>
      <c r="D931" s="1" t="s">
        <v>186</v>
      </c>
      <c r="E931" s="1" t="s">
        <v>90</v>
      </c>
      <c r="F931" s="1" t="s">
        <v>74</v>
      </c>
      <c r="G931" s="1" t="s">
        <v>185</v>
      </c>
      <c r="H931" s="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31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RPG宮侑ICONIC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5</v>
      </c>
      <c r="C932" s="1" t="s">
        <v>1071</v>
      </c>
      <c r="D932" s="1" t="s">
        <v>186</v>
      </c>
      <c r="E932" s="1" t="s">
        <v>90</v>
      </c>
      <c r="F932" s="1" t="s">
        <v>74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120</v>
      </c>
      <c r="L932" s="1" t="s">
        <v>178</v>
      </c>
      <c r="M932">
        <v>34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RPG宮侑ICONIC</v>
      </c>
    </row>
    <row r="933" spans="1:20" x14ac:dyDescent="0.35">
      <c r="A933">
        <f>VLOOKUP(Receive[[#This Row],[No用]],SetNo[[No.用]:[vlookup 用]],2,FALSE)</f>
        <v>161</v>
      </c>
      <c r="B933">
        <f>IF(ROW()=2,1,IF(A932&lt;&gt;Receive[[#This Row],[No]],1,B932+1))</f>
        <v>6</v>
      </c>
      <c r="C933" s="1" t="s">
        <v>1071</v>
      </c>
      <c r="D933" s="1" t="s">
        <v>186</v>
      </c>
      <c r="E933" s="1" t="s">
        <v>90</v>
      </c>
      <c r="F933" s="1" t="s">
        <v>74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RPG宮侑ICONIC</v>
      </c>
    </row>
    <row r="934" spans="1:20" x14ac:dyDescent="0.35">
      <c r="A934">
        <f>VLOOKUP(Receive[[#This Row],[No用]],SetNo[[No.用]:[vlookup 用]],2,FALSE)</f>
        <v>161</v>
      </c>
      <c r="B934">
        <f>IF(ROW()=2,1,IF(A933&lt;&gt;Receive[[#This Row],[No]],1,B933+1))</f>
        <v>7</v>
      </c>
      <c r="C934" s="1" t="s">
        <v>1071</v>
      </c>
      <c r="D934" s="1" t="s">
        <v>186</v>
      </c>
      <c r="E934" s="1" t="s">
        <v>90</v>
      </c>
      <c r="F934" s="1" t="s">
        <v>74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RPG宮侑ICONIC</v>
      </c>
    </row>
    <row r="935" spans="1:20" x14ac:dyDescent="0.35">
      <c r="A935">
        <f>VLOOKUP(Receive[[#This Row],[No用]],SetNo[[No.用]:[vlookup 用]],2,FALSE)</f>
        <v>161</v>
      </c>
      <c r="B935">
        <f>IF(ROW()=2,1,IF(A934&lt;&gt;Receive[[#This Row],[No]],1,B934+1))</f>
        <v>8</v>
      </c>
      <c r="C935" s="1" t="s">
        <v>1071</v>
      </c>
      <c r="D935" s="1" t="s">
        <v>186</v>
      </c>
      <c r="E935" s="1" t="s">
        <v>90</v>
      </c>
      <c r="F935" s="1" t="s">
        <v>74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183</v>
      </c>
      <c r="L935" s="1" t="s">
        <v>225</v>
      </c>
      <c r="M935">
        <v>57</v>
      </c>
      <c r="N935">
        <v>0</v>
      </c>
      <c r="O935">
        <v>64</v>
      </c>
      <c r="P935">
        <v>0</v>
      </c>
      <c r="T935" t="str">
        <f>Receive[[#This Row],[服装]]&amp;Receive[[#This Row],[名前]]&amp;Receive[[#This Row],[レアリティ]]</f>
        <v>RPG宮侑ICONIC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1</v>
      </c>
      <c r="C936" t="s">
        <v>108</v>
      </c>
      <c r="D936" t="s">
        <v>187</v>
      </c>
      <c r="E936" t="s">
        <v>90</v>
      </c>
      <c r="F936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ユニフォーム宮治ICONIC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2</v>
      </c>
      <c r="C937" t="s">
        <v>108</v>
      </c>
      <c r="D937" t="s">
        <v>187</v>
      </c>
      <c r="E937" t="s">
        <v>90</v>
      </c>
      <c r="F937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ユニフォーム宮治ICONIC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3</v>
      </c>
      <c r="C938" t="s">
        <v>108</v>
      </c>
      <c r="D938" t="s">
        <v>187</v>
      </c>
      <c r="E938" t="s">
        <v>90</v>
      </c>
      <c r="F938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ユニフォーム宮治ICONIC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4</v>
      </c>
      <c r="C939" t="s">
        <v>108</v>
      </c>
      <c r="D939" t="s">
        <v>187</v>
      </c>
      <c r="E939" t="s">
        <v>90</v>
      </c>
      <c r="F939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ユニフォーム宮治ICONIC</v>
      </c>
    </row>
    <row r="940" spans="1:20" x14ac:dyDescent="0.35">
      <c r="A940">
        <f>VLOOKUP(Receive[[#This Row],[No用]],SetNo[[No.用]:[vlookup 用]],2,FALSE)</f>
        <v>162</v>
      </c>
      <c r="B940">
        <f>IF(ROW()=2,1,IF(A939&lt;&gt;Receive[[#This Row],[No]],1,B939+1))</f>
        <v>5</v>
      </c>
      <c r="C940" t="s">
        <v>108</v>
      </c>
      <c r="D940" t="s">
        <v>187</v>
      </c>
      <c r="E940" t="s">
        <v>90</v>
      </c>
      <c r="F940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ユニフォーム宮治ICONIC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1</v>
      </c>
      <c r="C941" s="1" t="s">
        <v>1071</v>
      </c>
      <c r="D941" s="1" t="s">
        <v>187</v>
      </c>
      <c r="E941" s="1" t="s">
        <v>90</v>
      </c>
      <c r="F941" s="1" t="s">
        <v>78</v>
      </c>
      <c r="G941" s="1" t="s">
        <v>185</v>
      </c>
      <c r="H941" s="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RPG宮治ICONIC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2</v>
      </c>
      <c r="C942" s="1" t="s">
        <v>1071</v>
      </c>
      <c r="D942" s="1" t="s">
        <v>187</v>
      </c>
      <c r="E942" s="1" t="s">
        <v>90</v>
      </c>
      <c r="F942" s="1" t="s">
        <v>78</v>
      </c>
      <c r="G942" s="1" t="s">
        <v>185</v>
      </c>
      <c r="H942" s="1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RPG宮治ICONIC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3</v>
      </c>
      <c r="C943" s="1" t="s">
        <v>1071</v>
      </c>
      <c r="D943" s="1" t="s">
        <v>187</v>
      </c>
      <c r="E943" s="1" t="s">
        <v>90</v>
      </c>
      <c r="F943" s="1" t="s">
        <v>78</v>
      </c>
      <c r="G943" s="1" t="s">
        <v>185</v>
      </c>
      <c r="H943" s="1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RPG宮治ICONIC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4</v>
      </c>
      <c r="C944" s="1" t="s">
        <v>1071</v>
      </c>
      <c r="D944" s="1" t="s">
        <v>187</v>
      </c>
      <c r="E944" s="1" t="s">
        <v>90</v>
      </c>
      <c r="F944" s="1" t="s">
        <v>78</v>
      </c>
      <c r="G944" s="1" t="s">
        <v>185</v>
      </c>
      <c r="H944" s="1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RPG宮治ICONIC</v>
      </c>
    </row>
    <row r="945" spans="1:20" x14ac:dyDescent="0.35">
      <c r="A945">
        <f>VLOOKUP(Receive[[#This Row],[No用]],SetNo[[No.用]:[vlookup 用]],2,FALSE)</f>
        <v>163</v>
      </c>
      <c r="B945">
        <f>IF(ROW()=2,1,IF(A944&lt;&gt;Receive[[#This Row],[No]],1,B944+1))</f>
        <v>5</v>
      </c>
      <c r="C945" s="1" t="s">
        <v>1071</v>
      </c>
      <c r="D945" s="1" t="s">
        <v>187</v>
      </c>
      <c r="E945" s="1" t="s">
        <v>90</v>
      </c>
      <c r="F945" s="1" t="s">
        <v>78</v>
      </c>
      <c r="G945" s="1" t="s">
        <v>185</v>
      </c>
      <c r="H945" s="1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RPG宮治ICONIC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1</v>
      </c>
      <c r="C946" t="s">
        <v>108</v>
      </c>
      <c r="D946" t="s">
        <v>188</v>
      </c>
      <c r="E946" t="s">
        <v>77</v>
      </c>
      <c r="F946" t="s">
        <v>82</v>
      </c>
      <c r="G946" t="s">
        <v>185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ユニフォーム角名倫太郎ICONIC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2</v>
      </c>
      <c r="C947" t="s">
        <v>108</v>
      </c>
      <c r="D947" t="s">
        <v>188</v>
      </c>
      <c r="E947" t="s">
        <v>77</v>
      </c>
      <c r="F947" t="s">
        <v>82</v>
      </c>
      <c r="G947" t="s">
        <v>185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ユニフォーム角名倫太郎ICONIC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3</v>
      </c>
      <c r="C948" t="s">
        <v>108</v>
      </c>
      <c r="D948" t="s">
        <v>188</v>
      </c>
      <c r="E948" t="s">
        <v>77</v>
      </c>
      <c r="F948" t="s">
        <v>82</v>
      </c>
      <c r="G948" t="s">
        <v>185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ユニフォーム角名倫太郎ICONIC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4</v>
      </c>
      <c r="C949" t="s">
        <v>108</v>
      </c>
      <c r="D949" t="s">
        <v>188</v>
      </c>
      <c r="E949" t="s">
        <v>77</v>
      </c>
      <c r="F949" t="s">
        <v>82</v>
      </c>
      <c r="G949" t="s">
        <v>185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ユニフォーム角名倫太郎ICONIC</v>
      </c>
    </row>
    <row r="950" spans="1:20" x14ac:dyDescent="0.35">
      <c r="A950">
        <f>VLOOKUP(Receive[[#This Row],[No用]],SetNo[[No.用]:[vlookup 用]],2,FALSE)</f>
        <v>164</v>
      </c>
      <c r="B950">
        <f>IF(ROW()=2,1,IF(A949&lt;&gt;Receive[[#This Row],[No]],1,B949+1))</f>
        <v>5</v>
      </c>
      <c r="C950" t="s">
        <v>108</v>
      </c>
      <c r="D950" t="s">
        <v>188</v>
      </c>
      <c r="E950" t="s">
        <v>77</v>
      </c>
      <c r="F950" t="s">
        <v>82</v>
      </c>
      <c r="G950" t="s">
        <v>185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ユニフォーム角名倫太郎ICONIC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s="1" t="s">
        <v>1049</v>
      </c>
      <c r="D951" s="1" t="s">
        <v>188</v>
      </c>
      <c r="E951" s="1" t="s">
        <v>73</v>
      </c>
      <c r="F951" s="1" t="s">
        <v>82</v>
      </c>
      <c r="G951" s="1" t="s">
        <v>185</v>
      </c>
      <c r="H951" s="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サバゲ角名倫太郎ICONIC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s="1" t="s">
        <v>1049</v>
      </c>
      <c r="D952" s="1" t="s">
        <v>188</v>
      </c>
      <c r="E952" s="1" t="s">
        <v>73</v>
      </c>
      <c r="F952" s="1" t="s">
        <v>82</v>
      </c>
      <c r="G952" s="1" t="s">
        <v>185</v>
      </c>
      <c r="H952" s="1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サバゲ角名倫太郎ICONIC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s="1" t="s">
        <v>1049</v>
      </c>
      <c r="D953" s="1" t="s">
        <v>188</v>
      </c>
      <c r="E953" s="1" t="s">
        <v>73</v>
      </c>
      <c r="F953" s="1" t="s">
        <v>82</v>
      </c>
      <c r="G953" s="1" t="s">
        <v>185</v>
      </c>
      <c r="H953" s="1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サバゲ角名倫太郎ICONIC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s="1" t="s">
        <v>1049</v>
      </c>
      <c r="D954" s="1" t="s">
        <v>188</v>
      </c>
      <c r="E954" s="1" t="s">
        <v>73</v>
      </c>
      <c r="F954" s="1" t="s">
        <v>82</v>
      </c>
      <c r="G954" s="1" t="s">
        <v>185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サバゲ角名倫太郎ICONIC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s="1" t="s">
        <v>1049</v>
      </c>
      <c r="D955" s="1" t="s">
        <v>188</v>
      </c>
      <c r="E955" s="1" t="s">
        <v>73</v>
      </c>
      <c r="F955" s="1" t="s">
        <v>82</v>
      </c>
      <c r="G955" s="1" t="s">
        <v>185</v>
      </c>
      <c r="H955" s="1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サバゲ角名倫太郎ICONIC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t="s">
        <v>189</v>
      </c>
      <c r="E956" t="s">
        <v>77</v>
      </c>
      <c r="F956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119</v>
      </c>
      <c r="L956" s="1" t="s">
        <v>178</v>
      </c>
      <c r="M956">
        <v>35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ユニフォーム北信介ICONIC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t="s">
        <v>189</v>
      </c>
      <c r="E957" t="s">
        <v>77</v>
      </c>
      <c r="F957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32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ユニフォーム北信介ICONIC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t="s">
        <v>189</v>
      </c>
      <c r="E958" t="s">
        <v>77</v>
      </c>
      <c r="F958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231</v>
      </c>
      <c r="L958" s="1" t="s">
        <v>162</v>
      </c>
      <c r="M958">
        <v>32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ユニフォーム北信介ICONIC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t="s">
        <v>189</v>
      </c>
      <c r="E959" t="s">
        <v>77</v>
      </c>
      <c r="F959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120</v>
      </c>
      <c r="L959" s="1" t="s">
        <v>173</v>
      </c>
      <c r="M959">
        <v>36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ユニフォーム北信介ICONIC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t="s">
        <v>189</v>
      </c>
      <c r="E960" t="s">
        <v>77</v>
      </c>
      <c r="F960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32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ユニフォーム北信介ICONIC</v>
      </c>
    </row>
    <row r="961" spans="1:20" x14ac:dyDescent="0.35">
      <c r="A961">
        <f>VLOOKUP(Receive[[#This Row],[No用]],SetNo[[No.用]:[vlookup 用]],2,FALSE)</f>
        <v>166</v>
      </c>
      <c r="B961">
        <f>IF(ROW()=2,1,IF(A960&lt;&gt;Receive[[#This Row],[No]],1,B960+1))</f>
        <v>6</v>
      </c>
      <c r="C961" t="s">
        <v>108</v>
      </c>
      <c r="D961" t="s">
        <v>189</v>
      </c>
      <c r="E961" t="s">
        <v>77</v>
      </c>
      <c r="F96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ユニフォーム北信介ICONIC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1</v>
      </c>
      <c r="C962" s="1" t="s">
        <v>915</v>
      </c>
      <c r="D962" t="s">
        <v>189</v>
      </c>
      <c r="E962" s="1" t="s">
        <v>73</v>
      </c>
      <c r="F962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119</v>
      </c>
      <c r="L962" s="1" t="s">
        <v>178</v>
      </c>
      <c r="M962">
        <v>35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Xmas北信介ICONIC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2</v>
      </c>
      <c r="C963" s="1" t="s">
        <v>915</v>
      </c>
      <c r="D963" t="s">
        <v>189</v>
      </c>
      <c r="E963" s="1" t="s">
        <v>73</v>
      </c>
      <c r="F963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32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Xmas北信介ICONIC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3</v>
      </c>
      <c r="C964" s="1" t="s">
        <v>915</v>
      </c>
      <c r="D964" t="s">
        <v>189</v>
      </c>
      <c r="E964" s="1" t="s">
        <v>73</v>
      </c>
      <c r="F964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231</v>
      </c>
      <c r="L964" s="1" t="s">
        <v>162</v>
      </c>
      <c r="M964">
        <v>32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Xmas北信介ICONIC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4</v>
      </c>
      <c r="C965" s="1" t="s">
        <v>915</v>
      </c>
      <c r="D965" t="s">
        <v>189</v>
      </c>
      <c r="E965" s="1" t="s">
        <v>73</v>
      </c>
      <c r="F965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120</v>
      </c>
      <c r="L965" s="1" t="s">
        <v>173</v>
      </c>
      <c r="M965">
        <v>36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Xmas北信介ICONIC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5</v>
      </c>
      <c r="C966" s="1" t="s">
        <v>915</v>
      </c>
      <c r="D966" t="s">
        <v>189</v>
      </c>
      <c r="E966" s="1" t="s">
        <v>73</v>
      </c>
      <c r="F966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32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Xmas北信介ICONIC</v>
      </c>
    </row>
    <row r="967" spans="1:20" x14ac:dyDescent="0.35">
      <c r="A967">
        <f>VLOOKUP(Receive[[#This Row],[No用]],SetNo[[No.用]:[vlookup 用]],2,FALSE)</f>
        <v>167</v>
      </c>
      <c r="B967">
        <f>IF(ROW()=2,1,IF(A966&lt;&gt;Receive[[#This Row],[No]],1,B966+1))</f>
        <v>6</v>
      </c>
      <c r="C967" s="1" t="s">
        <v>915</v>
      </c>
      <c r="D967" t="s">
        <v>189</v>
      </c>
      <c r="E967" s="1" t="s">
        <v>73</v>
      </c>
      <c r="F967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Xmas北信介ICONIC</v>
      </c>
    </row>
    <row r="968" spans="1:20" x14ac:dyDescent="0.35">
      <c r="A968">
        <f>VLOOKUP(Receive[[#This Row],[No用]],SetNo[[No.用]:[vlookup 用]],2,FALSE)</f>
        <v>167</v>
      </c>
      <c r="B968">
        <f>IF(ROW()=2,1,IF(A967&lt;&gt;Receive[[#This Row],[No]],1,B967+1))</f>
        <v>7</v>
      </c>
      <c r="C968" s="1" t="s">
        <v>915</v>
      </c>
      <c r="D968" t="s">
        <v>189</v>
      </c>
      <c r="E968" s="1" t="s">
        <v>73</v>
      </c>
      <c r="F968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164</v>
      </c>
      <c r="L968" s="1" t="s">
        <v>225</v>
      </c>
      <c r="M968">
        <v>44</v>
      </c>
      <c r="N968">
        <v>0</v>
      </c>
      <c r="O968">
        <v>54</v>
      </c>
      <c r="P968">
        <v>0</v>
      </c>
      <c r="T968" t="str">
        <f>Receive[[#This Row],[服装]]&amp;Receive[[#This Row],[名前]]&amp;Receive[[#This Row],[レアリティ]]</f>
        <v>Xmas北信介ICONIC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1</v>
      </c>
      <c r="C969" t="s">
        <v>108</v>
      </c>
      <c r="D969" s="1" t="s">
        <v>665</v>
      </c>
      <c r="E969" t="s">
        <v>77</v>
      </c>
      <c r="F969" s="1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25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ユニフォーム尾白アランICONIC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2</v>
      </c>
      <c r="C970" t="s">
        <v>108</v>
      </c>
      <c r="D970" s="1" t="s">
        <v>665</v>
      </c>
      <c r="E970" t="s">
        <v>77</v>
      </c>
      <c r="F970" s="1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ユニフォーム尾白アランICONIC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3</v>
      </c>
      <c r="C971" t="s">
        <v>108</v>
      </c>
      <c r="D971" s="1" t="s">
        <v>665</v>
      </c>
      <c r="E971" t="s">
        <v>77</v>
      </c>
      <c r="F971" s="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ユニフォーム尾白アランICONIC</v>
      </c>
    </row>
    <row r="972" spans="1:20" x14ac:dyDescent="0.35">
      <c r="A972">
        <f>VLOOKUP(Receive[[#This Row],[No用]],SetNo[[No.用]:[vlookup 用]],2,FALSE)</f>
        <v>168</v>
      </c>
      <c r="B972">
        <f>IF(ROW()=2,1,IF(A971&lt;&gt;Receive[[#This Row],[No]],1,B971+1))</f>
        <v>4</v>
      </c>
      <c r="C972" t="s">
        <v>108</v>
      </c>
      <c r="D972" s="1" t="s">
        <v>665</v>
      </c>
      <c r="E972" t="s">
        <v>77</v>
      </c>
      <c r="F972" s="1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ユニフォーム尾白アランICONIC</v>
      </c>
    </row>
    <row r="973" spans="1:20" x14ac:dyDescent="0.35">
      <c r="A973">
        <f>VLOOKUP(Receive[[#This Row],[No用]],SetNo[[No.用]:[vlookup 用]],2,FALSE)</f>
        <v>168</v>
      </c>
      <c r="B973">
        <f>IF(ROW()=2,1,IF(A972&lt;&gt;Receive[[#This Row],[No]],1,B972+1))</f>
        <v>5</v>
      </c>
      <c r="C973" t="s">
        <v>108</v>
      </c>
      <c r="D973" s="1" t="s">
        <v>665</v>
      </c>
      <c r="E973" t="s">
        <v>77</v>
      </c>
      <c r="F973" s="1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ユニフォーム尾白アランICONIC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1</v>
      </c>
      <c r="C974" s="1" t="s">
        <v>959</v>
      </c>
      <c r="D974" s="1" t="s">
        <v>665</v>
      </c>
      <c r="E974" s="1" t="s">
        <v>979</v>
      </c>
      <c r="F974" s="1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雪遊び尾白アランICONIC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2</v>
      </c>
      <c r="C975" s="1" t="s">
        <v>959</v>
      </c>
      <c r="D975" s="1" t="s">
        <v>665</v>
      </c>
      <c r="E975" s="1" t="s">
        <v>979</v>
      </c>
      <c r="F975" s="1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雪遊び尾白アランICONIC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3</v>
      </c>
      <c r="C976" s="1" t="s">
        <v>959</v>
      </c>
      <c r="D976" s="1" t="s">
        <v>665</v>
      </c>
      <c r="E976" s="1" t="s">
        <v>979</v>
      </c>
      <c r="F976" s="1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雪遊び尾白アランICONIC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4</v>
      </c>
      <c r="C977" s="1" t="s">
        <v>959</v>
      </c>
      <c r="D977" s="1" t="s">
        <v>665</v>
      </c>
      <c r="E977" s="1" t="s">
        <v>979</v>
      </c>
      <c r="F977" s="1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雪遊び尾白アランICONIC</v>
      </c>
    </row>
    <row r="978" spans="1:20" x14ac:dyDescent="0.35">
      <c r="A978">
        <f>VLOOKUP(Receive[[#This Row],[No用]],SetNo[[No.用]:[vlookup 用]],2,FALSE)</f>
        <v>169</v>
      </c>
      <c r="B978">
        <f>IF(ROW()=2,1,IF(A977&lt;&gt;Receive[[#This Row],[No]],1,B977+1))</f>
        <v>5</v>
      </c>
      <c r="C978" s="1" t="s">
        <v>959</v>
      </c>
      <c r="D978" s="1" t="s">
        <v>665</v>
      </c>
      <c r="E978" s="1" t="s">
        <v>979</v>
      </c>
      <c r="F978" s="1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雪遊び尾白アランICONIC</v>
      </c>
    </row>
    <row r="979" spans="1:20" x14ac:dyDescent="0.35">
      <c r="A979">
        <f>VLOOKUP(Receive[[#This Row],[No用]],SetNo[[No.用]:[vlookup 用]],2,FALSE)</f>
        <v>169</v>
      </c>
      <c r="B979">
        <f>IF(ROW()=2,1,IF(A978&lt;&gt;Receive[[#This Row],[No]],1,B978+1))</f>
        <v>6</v>
      </c>
      <c r="C979" s="1" t="s">
        <v>959</v>
      </c>
      <c r="D979" s="1" t="s">
        <v>665</v>
      </c>
      <c r="E979" s="1" t="s">
        <v>979</v>
      </c>
      <c r="F979" s="1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45</v>
      </c>
      <c r="N979">
        <v>0</v>
      </c>
      <c r="O979">
        <v>55</v>
      </c>
      <c r="P979">
        <v>0</v>
      </c>
      <c r="T979" t="str">
        <f>Receive[[#This Row],[服装]]&amp;Receive[[#This Row],[名前]]&amp;Receive[[#This Row],[レアリティ]]</f>
        <v>雪遊び尾白アランICONIC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1</v>
      </c>
      <c r="C980" t="s">
        <v>108</v>
      </c>
      <c r="D980" s="1" t="s">
        <v>667</v>
      </c>
      <c r="E980" t="s">
        <v>77</v>
      </c>
      <c r="F980" s="1" t="s">
        <v>80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36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ユニフォーム赤木路成ICONIC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2</v>
      </c>
      <c r="C981" t="s">
        <v>108</v>
      </c>
      <c r="D981" s="1" t="s">
        <v>667</v>
      </c>
      <c r="E981" t="s">
        <v>77</v>
      </c>
      <c r="F981" s="1" t="s">
        <v>80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173</v>
      </c>
      <c r="M981">
        <v>41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ユニフォーム赤木路成ICONIC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3</v>
      </c>
      <c r="C982" t="s">
        <v>108</v>
      </c>
      <c r="D982" s="1" t="s">
        <v>667</v>
      </c>
      <c r="E982" t="s">
        <v>77</v>
      </c>
      <c r="F982" s="1" t="s">
        <v>80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ユニフォーム赤木路成ICONIC</v>
      </c>
    </row>
    <row r="983" spans="1:20" x14ac:dyDescent="0.35">
      <c r="A983">
        <f>VLOOKUP(Receive[[#This Row],[No用]],SetNo[[No.用]:[vlookup 用]],2,FALSE)</f>
        <v>170</v>
      </c>
      <c r="B983">
        <f>IF(ROW()=2,1,IF(A982&lt;&gt;Receive[[#This Row],[No]],1,B982+1))</f>
        <v>4</v>
      </c>
      <c r="C983" t="s">
        <v>108</v>
      </c>
      <c r="D983" s="1" t="s">
        <v>667</v>
      </c>
      <c r="E983" t="s">
        <v>77</v>
      </c>
      <c r="F983" s="1" t="s">
        <v>80</v>
      </c>
      <c r="G983" t="s">
        <v>185</v>
      </c>
      <c r="H983" t="s">
        <v>71</v>
      </c>
      <c r="I983">
        <v>1</v>
      </c>
      <c r="J983" t="s">
        <v>229</v>
      </c>
      <c r="K983" s="1" t="s">
        <v>231</v>
      </c>
      <c r="L983" s="1" t="s">
        <v>225</v>
      </c>
      <c r="M983">
        <v>57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ユニフォーム赤木路成ICONIC</v>
      </c>
    </row>
    <row r="984" spans="1:20" x14ac:dyDescent="0.35">
      <c r="A984">
        <f>VLOOKUP(Receive[[#This Row],[No用]],SetNo[[No.用]:[vlookup 用]],2,FALSE)</f>
        <v>170</v>
      </c>
      <c r="B984">
        <f>IF(ROW()=2,1,IF(A983&lt;&gt;Receive[[#This Row],[No]],1,B983+1))</f>
        <v>5</v>
      </c>
      <c r="C984" t="s">
        <v>108</v>
      </c>
      <c r="D984" s="1" t="s">
        <v>667</v>
      </c>
      <c r="E984" t="s">
        <v>77</v>
      </c>
      <c r="F984" s="1" t="s">
        <v>80</v>
      </c>
      <c r="G984" t="s">
        <v>185</v>
      </c>
      <c r="H984" t="s">
        <v>71</v>
      </c>
      <c r="I984">
        <v>1</v>
      </c>
      <c r="J984" t="s">
        <v>229</v>
      </c>
      <c r="K984" s="1" t="s">
        <v>120</v>
      </c>
      <c r="L984" s="1" t="s">
        <v>173</v>
      </c>
      <c r="M984">
        <v>36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ユニフォーム赤木路成ICONIC</v>
      </c>
    </row>
    <row r="985" spans="1:20" x14ac:dyDescent="0.35">
      <c r="A985">
        <f>VLOOKUP(Receive[[#This Row],[No用]],SetNo[[No.用]:[vlookup 用]],2,FALSE)</f>
        <v>170</v>
      </c>
      <c r="B985">
        <f>IF(ROW()=2,1,IF(A984&lt;&gt;Receive[[#This Row],[No]],1,B984+1))</f>
        <v>6</v>
      </c>
      <c r="C985" t="s">
        <v>108</v>
      </c>
      <c r="D985" s="1" t="s">
        <v>667</v>
      </c>
      <c r="E985" t="s">
        <v>77</v>
      </c>
      <c r="F985" s="1" t="s">
        <v>80</v>
      </c>
      <c r="G985" t="s">
        <v>185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33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ユニフォーム赤木路成ICONIC</v>
      </c>
    </row>
    <row r="986" spans="1:20" x14ac:dyDescent="0.35">
      <c r="A986">
        <f>VLOOKUP(Receive[[#This Row],[No用]],SetNo[[No.用]:[vlookup 用]],2,FALSE)</f>
        <v>170</v>
      </c>
      <c r="B986">
        <f>IF(ROW()=2,1,IF(A985&lt;&gt;Receive[[#This Row],[No]],1,B985+1))</f>
        <v>7</v>
      </c>
      <c r="C986" t="s">
        <v>108</v>
      </c>
      <c r="D986" s="1" t="s">
        <v>667</v>
      </c>
      <c r="E986" t="s">
        <v>77</v>
      </c>
      <c r="F986" s="1" t="s">
        <v>80</v>
      </c>
      <c r="G986" t="s">
        <v>185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ユニフォーム赤木路成ICONIC</v>
      </c>
    </row>
    <row r="987" spans="1:20" x14ac:dyDescent="0.35">
      <c r="A987">
        <f>VLOOKUP(Receive[[#This Row],[No用]],SetNo[[No.用]:[vlookup 用]],2,FALSE)</f>
        <v>170</v>
      </c>
      <c r="B987">
        <f>IF(ROW()=2,1,IF(A986&lt;&gt;Receive[[#This Row],[No]],1,B986+1))</f>
        <v>8</v>
      </c>
      <c r="C987" t="s">
        <v>108</v>
      </c>
      <c r="D987" s="1" t="s">
        <v>667</v>
      </c>
      <c r="E987" t="s">
        <v>77</v>
      </c>
      <c r="F987" s="1" t="s">
        <v>80</v>
      </c>
      <c r="G987" t="s">
        <v>185</v>
      </c>
      <c r="H987" t="s">
        <v>71</v>
      </c>
      <c r="I987">
        <v>1</v>
      </c>
      <c r="J987" t="s">
        <v>229</v>
      </c>
      <c r="K987" s="1" t="s">
        <v>183</v>
      </c>
      <c r="L987" s="1" t="s">
        <v>225</v>
      </c>
      <c r="M987">
        <v>47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ユニフォーム赤木路成ICONIC</v>
      </c>
    </row>
    <row r="988" spans="1:20" x14ac:dyDescent="0.35">
      <c r="A988">
        <f>VLOOKUP(Receive[[#This Row],[No用]],SetNo[[No.用]:[vlookup 用]],2,FALSE)</f>
        <v>171</v>
      </c>
      <c r="B988">
        <f>IF(ROW()=2,1,IF(A987&lt;&gt;Receive[[#This Row],[No]],1,B987+1))</f>
        <v>1</v>
      </c>
      <c r="C988" t="s">
        <v>108</v>
      </c>
      <c r="D988" s="1" t="s">
        <v>669</v>
      </c>
      <c r="E988" t="s">
        <v>77</v>
      </c>
      <c r="F988" s="1" t="s">
        <v>82</v>
      </c>
      <c r="G988" t="s">
        <v>185</v>
      </c>
      <c r="H988" t="s">
        <v>71</v>
      </c>
      <c r="I988">
        <v>1</v>
      </c>
      <c r="J988" t="s">
        <v>229</v>
      </c>
      <c r="K988" s="1" t="s">
        <v>119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ユニフォーム大耳練ICONIC</v>
      </c>
    </row>
    <row r="989" spans="1:20" x14ac:dyDescent="0.35">
      <c r="A989">
        <f>VLOOKUP(Receive[[#This Row],[No用]],SetNo[[No.用]:[vlookup 用]],2,FALSE)</f>
        <v>171</v>
      </c>
      <c r="B989">
        <f>IF(ROW()=2,1,IF(A988&lt;&gt;Receive[[#This Row],[No]],1,B988+1))</f>
        <v>2</v>
      </c>
      <c r="C989" t="s">
        <v>108</v>
      </c>
      <c r="D989" s="1" t="s">
        <v>669</v>
      </c>
      <c r="E989" t="s">
        <v>77</v>
      </c>
      <c r="F989" s="1" t="s">
        <v>82</v>
      </c>
      <c r="G989" t="s">
        <v>185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ユニフォーム大耳練ICONIC</v>
      </c>
    </row>
    <row r="990" spans="1:20" x14ac:dyDescent="0.35">
      <c r="A990">
        <f>VLOOKUP(Receive[[#This Row],[No用]],SetNo[[No.用]:[vlookup 用]],2,FALSE)</f>
        <v>171</v>
      </c>
      <c r="B990">
        <f>IF(ROW()=2,1,IF(A989&lt;&gt;Receive[[#This Row],[No]],1,B989+1))</f>
        <v>3</v>
      </c>
      <c r="C990" t="s">
        <v>108</v>
      </c>
      <c r="D990" s="1" t="s">
        <v>669</v>
      </c>
      <c r="E990" t="s">
        <v>77</v>
      </c>
      <c r="F990" s="1" t="s">
        <v>82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162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ユニフォーム大耳練ICONIC</v>
      </c>
    </row>
    <row r="991" spans="1:20" x14ac:dyDescent="0.35">
      <c r="A991">
        <f>VLOOKUP(Receive[[#This Row],[No用]],SetNo[[No.用]:[vlookup 用]],2,FALSE)</f>
        <v>171</v>
      </c>
      <c r="B991">
        <f>IF(ROW()=2,1,IF(A990&lt;&gt;Receive[[#This Row],[No]],1,B990+1))</f>
        <v>4</v>
      </c>
      <c r="C991" t="s">
        <v>108</v>
      </c>
      <c r="D991" s="1" t="s">
        <v>669</v>
      </c>
      <c r="E991" t="s">
        <v>77</v>
      </c>
      <c r="F991" s="1" t="s">
        <v>82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ユニフォーム大耳練ICONIC</v>
      </c>
    </row>
    <row r="992" spans="1:20" x14ac:dyDescent="0.35">
      <c r="A992">
        <f>VLOOKUP(Receive[[#This Row],[No用]],SetNo[[No.用]:[vlookup 用]],2,FALSE)</f>
        <v>171</v>
      </c>
      <c r="B992">
        <f>IF(ROW()=2,1,IF(A991&lt;&gt;Receive[[#This Row],[No]],1,B991+1))</f>
        <v>5</v>
      </c>
      <c r="C992" t="s">
        <v>108</v>
      </c>
      <c r="D992" s="1" t="s">
        <v>669</v>
      </c>
      <c r="E992" t="s">
        <v>77</v>
      </c>
      <c r="F992" s="1" t="s">
        <v>82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ユニフォーム大耳練ICONIC</v>
      </c>
    </row>
    <row r="993" spans="1:20" x14ac:dyDescent="0.35">
      <c r="A993">
        <f>VLOOKUP(Receive[[#This Row],[No用]],SetNo[[No.用]:[vlookup 用]],2,FALSE)</f>
        <v>172</v>
      </c>
      <c r="B993">
        <f>IF(ROW()=2,1,IF(A992&lt;&gt;Receive[[#This Row],[No]],1,B992+1))</f>
        <v>1</v>
      </c>
      <c r="C993" t="s">
        <v>108</v>
      </c>
      <c r="D993" s="1" t="s">
        <v>671</v>
      </c>
      <c r="E993" t="s">
        <v>77</v>
      </c>
      <c r="F993" s="1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ユニフォーム理石平介ICONIC</v>
      </c>
    </row>
    <row r="994" spans="1:20" x14ac:dyDescent="0.35">
      <c r="A994">
        <f>VLOOKUP(Receive[[#This Row],[No用]],SetNo[[No.用]:[vlookup 用]],2,FALSE)</f>
        <v>172</v>
      </c>
      <c r="B994">
        <f>IF(ROW()=2,1,IF(A993&lt;&gt;Receive[[#This Row],[No]],1,B993+1))</f>
        <v>2</v>
      </c>
      <c r="C994" t="s">
        <v>108</v>
      </c>
      <c r="D994" s="1" t="s">
        <v>671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195</v>
      </c>
      <c r="L994" s="1" t="s">
        <v>173</v>
      </c>
      <c r="M994">
        <v>31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ユニフォーム理石平介ICONIC</v>
      </c>
    </row>
    <row r="995" spans="1:20" x14ac:dyDescent="0.35">
      <c r="A995">
        <f>VLOOKUP(Receive[[#This Row],[No用]],SetNo[[No.用]:[vlookup 用]],2,FALSE)</f>
        <v>172</v>
      </c>
      <c r="B995">
        <f>IF(ROW()=2,1,IF(A994&lt;&gt;Receive[[#This Row],[No]],1,B994+1))</f>
        <v>3</v>
      </c>
      <c r="C995" t="s">
        <v>108</v>
      </c>
      <c r="D995" s="1" t="s">
        <v>671</v>
      </c>
      <c r="E995" t="s">
        <v>77</v>
      </c>
      <c r="F995" s="1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ユニフォーム理石平介ICONIC</v>
      </c>
    </row>
    <row r="996" spans="1:20" x14ac:dyDescent="0.35">
      <c r="A996">
        <f>VLOOKUP(Receive[[#This Row],[No用]],SetNo[[No.用]:[vlookup 用]],2,FALSE)</f>
        <v>172</v>
      </c>
      <c r="B996">
        <f>IF(ROW()=2,1,IF(A995&lt;&gt;Receive[[#This Row],[No]],1,B995+1))</f>
        <v>4</v>
      </c>
      <c r="C996" t="s">
        <v>108</v>
      </c>
      <c r="D996" s="1" t="s">
        <v>671</v>
      </c>
      <c r="E996" t="s">
        <v>77</v>
      </c>
      <c r="F996" s="1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120</v>
      </c>
      <c r="L996" s="1" t="s">
        <v>178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ユニフォーム理石平介ICONIC</v>
      </c>
    </row>
    <row r="997" spans="1:20" x14ac:dyDescent="0.35">
      <c r="A997">
        <f>VLOOKUP(Receive[[#This Row],[No用]],SetNo[[No.用]:[vlookup 用]],2,FALSE)</f>
        <v>172</v>
      </c>
      <c r="B997">
        <f>IF(ROW()=2,1,IF(A996&lt;&gt;Receive[[#This Row],[No]],1,B996+1))</f>
        <v>5</v>
      </c>
      <c r="C997" t="s">
        <v>108</v>
      </c>
      <c r="D997" s="1" t="s">
        <v>671</v>
      </c>
      <c r="E997" t="s">
        <v>77</v>
      </c>
      <c r="F997" s="1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25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ユニフォーム理石平介ICONIC</v>
      </c>
    </row>
    <row r="998" spans="1:20" x14ac:dyDescent="0.35">
      <c r="A998">
        <f>VLOOKUP(Receive[[#This Row],[No用]],SetNo[[No.用]:[vlookup 用]],2,FALSE)</f>
        <v>172</v>
      </c>
      <c r="B998">
        <f>IF(ROW()=2,1,IF(A997&lt;&gt;Receive[[#This Row],[No]],1,B997+1))</f>
        <v>6</v>
      </c>
      <c r="C998" t="s">
        <v>108</v>
      </c>
      <c r="D998" s="1" t="s">
        <v>671</v>
      </c>
      <c r="E998" t="s">
        <v>77</v>
      </c>
      <c r="F998" s="1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ユニフォーム理石平介ICONIC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1</v>
      </c>
      <c r="C999" s="1" t="s">
        <v>108</v>
      </c>
      <c r="D999" s="1" t="s">
        <v>1178</v>
      </c>
      <c r="E999" s="1" t="s">
        <v>77</v>
      </c>
      <c r="F999" s="1" t="s">
        <v>78</v>
      </c>
      <c r="G999" s="1" t="s">
        <v>185</v>
      </c>
      <c r="H999" s="1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ユニフォーム銀島結ICONIC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2</v>
      </c>
      <c r="C1000" s="1" t="s">
        <v>108</v>
      </c>
      <c r="D1000" s="1" t="s">
        <v>1178</v>
      </c>
      <c r="E1000" s="1" t="s">
        <v>77</v>
      </c>
      <c r="F1000" s="1" t="s">
        <v>78</v>
      </c>
      <c r="G1000" s="1" t="s">
        <v>185</v>
      </c>
      <c r="H1000" s="1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ユニフォーム銀島結ICONIC</v>
      </c>
    </row>
    <row r="1001" spans="1:20" x14ac:dyDescent="0.35">
      <c r="A1001">
        <f>VLOOKUP(Receive[[#This Row],[No用]],SetNo[[No.用]:[vlookup 用]],2,FALSE)</f>
        <v>173</v>
      </c>
      <c r="B1001" s="14">
        <f>IF(ROW()=2,1,IF(A1000&lt;&gt;Receive[[#This Row],[No]],1,B1000+1))</f>
        <v>3</v>
      </c>
      <c r="C1001" s="1" t="s">
        <v>108</v>
      </c>
      <c r="D1001" s="1" t="s">
        <v>1178</v>
      </c>
      <c r="E1001" s="1" t="s">
        <v>77</v>
      </c>
      <c r="F1001" s="1" t="s">
        <v>78</v>
      </c>
      <c r="G1001" s="1" t="s">
        <v>185</v>
      </c>
      <c r="H1001" s="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ユニフォーム銀島結ICONIC</v>
      </c>
    </row>
    <row r="1002" spans="1:20" x14ac:dyDescent="0.35">
      <c r="A1002">
        <f>VLOOKUP(Receive[[#This Row],[No用]],SetNo[[No.用]:[vlookup 用]],2,FALSE)</f>
        <v>173</v>
      </c>
      <c r="B1002" s="14">
        <f>IF(ROW()=2,1,IF(A1001&lt;&gt;Receive[[#This Row],[No]],1,B1001+1))</f>
        <v>4</v>
      </c>
      <c r="C1002" s="1" t="s">
        <v>108</v>
      </c>
      <c r="D1002" s="1" t="s">
        <v>1178</v>
      </c>
      <c r="E1002" s="1" t="s">
        <v>77</v>
      </c>
      <c r="F1002" s="1" t="s">
        <v>78</v>
      </c>
      <c r="G1002" s="1" t="s">
        <v>185</v>
      </c>
      <c r="H1002" s="1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ユニフォーム銀島結ICONIC</v>
      </c>
    </row>
    <row r="1003" spans="1:20" x14ac:dyDescent="0.35">
      <c r="A1003">
        <f>VLOOKUP(Receive[[#This Row],[No用]],SetNo[[No.用]:[vlookup 用]],2,FALSE)</f>
        <v>173</v>
      </c>
      <c r="B1003" s="14">
        <f>IF(ROW()=2,1,IF(A1002&lt;&gt;Receive[[#This Row],[No]],1,B1002+1))</f>
        <v>5</v>
      </c>
      <c r="C1003" s="1" t="s">
        <v>108</v>
      </c>
      <c r="D1003" s="1" t="s">
        <v>1178</v>
      </c>
      <c r="E1003" s="1" t="s">
        <v>77</v>
      </c>
      <c r="F1003" s="1" t="s">
        <v>78</v>
      </c>
      <c r="G1003" s="1" t="s">
        <v>185</v>
      </c>
      <c r="H1003" s="1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ユニフォーム銀島結ICONIC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1</v>
      </c>
      <c r="C1004" t="s">
        <v>108</v>
      </c>
      <c r="D1004" t="s">
        <v>122</v>
      </c>
      <c r="E1004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16</v>
      </c>
      <c r="K1004" s="1" t="s">
        <v>119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ユニフォーム木兎光太郎ICONIC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2</v>
      </c>
      <c r="C1005" t="s">
        <v>108</v>
      </c>
      <c r="D1005" t="s">
        <v>122</v>
      </c>
      <c r="E1005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16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ユニフォーム木兎光太郎ICONIC</v>
      </c>
    </row>
    <row r="1006" spans="1:20" x14ac:dyDescent="0.35">
      <c r="A1006">
        <f>VLOOKUP(Receive[[#This Row],[No用]],SetNo[[No.用]:[vlookup 用]],2,FALSE)</f>
        <v>174</v>
      </c>
      <c r="B1006" s="14">
        <f>IF(ROW()=2,1,IF(A1005&lt;&gt;Receive[[#This Row],[No]],1,B1005+1))</f>
        <v>3</v>
      </c>
      <c r="C1006" t="s">
        <v>108</v>
      </c>
      <c r="D1006" t="s">
        <v>122</v>
      </c>
      <c r="E1006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16</v>
      </c>
      <c r="K1006" s="1" t="s">
        <v>120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ユニフォーム木兎光太郎ICONIC</v>
      </c>
    </row>
    <row r="1007" spans="1:20" x14ac:dyDescent="0.35">
      <c r="A1007">
        <f>VLOOKUP(Receive[[#This Row],[No用]],SetNo[[No.用]:[vlookup 用]],2,FALSE)</f>
        <v>174</v>
      </c>
      <c r="B1007" s="14">
        <f>IF(ROW()=2,1,IF(A1006&lt;&gt;Receive[[#This Row],[No]],1,B1006+1))</f>
        <v>4</v>
      </c>
      <c r="C1007" t="s">
        <v>108</v>
      </c>
      <c r="D1007" t="s">
        <v>122</v>
      </c>
      <c r="E1007" t="s">
        <v>90</v>
      </c>
      <c r="F1007" t="s">
        <v>78</v>
      </c>
      <c r="G1007" t="s">
        <v>128</v>
      </c>
      <c r="H1007" t="s">
        <v>71</v>
      </c>
      <c r="I1007">
        <v>1</v>
      </c>
      <c r="J1007" t="s">
        <v>16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ユニフォーム木兎光太郎ICONIC</v>
      </c>
    </row>
    <row r="1008" spans="1:20" x14ac:dyDescent="0.35">
      <c r="A1008">
        <f>VLOOKUP(Receive[[#This Row],[No用]],SetNo[[No.用]:[vlookup 用]],2,FALSE)</f>
        <v>174</v>
      </c>
      <c r="B1008" s="14">
        <f>IF(ROW()=2,1,IF(A1007&lt;&gt;Receive[[#This Row],[No]],1,B1007+1))</f>
        <v>5</v>
      </c>
      <c r="C1008" t="s">
        <v>108</v>
      </c>
      <c r="D1008" t="s">
        <v>122</v>
      </c>
      <c r="E1008" t="s">
        <v>90</v>
      </c>
      <c r="F1008" t="s">
        <v>78</v>
      </c>
      <c r="G1008" t="s">
        <v>128</v>
      </c>
      <c r="H1008" t="s">
        <v>71</v>
      </c>
      <c r="I1008">
        <v>1</v>
      </c>
      <c r="J1008" t="s">
        <v>16</v>
      </c>
      <c r="K1008" s="1" t="s">
        <v>165</v>
      </c>
      <c r="L1008" s="1" t="s">
        <v>162</v>
      </c>
      <c r="M1008">
        <v>13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ユニフォーム木兎光太郎ICONIC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1</v>
      </c>
      <c r="C1009" t="s">
        <v>150</v>
      </c>
      <c r="D1009" t="s">
        <v>122</v>
      </c>
      <c r="E1009" t="s">
        <v>77</v>
      </c>
      <c r="F1009" t="s">
        <v>78</v>
      </c>
      <c r="G1009" t="s">
        <v>128</v>
      </c>
      <c r="H1009" t="s">
        <v>71</v>
      </c>
      <c r="I1009">
        <v>1</v>
      </c>
      <c r="J1009" t="s">
        <v>16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夏祭り木兎光太郎ICONIC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2</v>
      </c>
      <c r="C1010" t="s">
        <v>150</v>
      </c>
      <c r="D1010" t="s">
        <v>122</v>
      </c>
      <c r="E1010" t="s">
        <v>77</v>
      </c>
      <c r="F1010" t="s">
        <v>78</v>
      </c>
      <c r="G1010" t="s">
        <v>128</v>
      </c>
      <c r="H1010" t="s">
        <v>71</v>
      </c>
      <c r="I1010">
        <v>1</v>
      </c>
      <c r="J1010" t="s">
        <v>16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夏祭り木兎光太郎ICONIC</v>
      </c>
    </row>
    <row r="1011" spans="1:20" x14ac:dyDescent="0.35">
      <c r="A1011">
        <f>VLOOKUP(Receive[[#This Row],[No用]],SetNo[[No.用]:[vlookup 用]],2,FALSE)</f>
        <v>175</v>
      </c>
      <c r="B1011" s="14">
        <f>IF(ROW()=2,1,IF(A1010&lt;&gt;Receive[[#This Row],[No]],1,B1010+1))</f>
        <v>3</v>
      </c>
      <c r="C1011" t="s">
        <v>150</v>
      </c>
      <c r="D1011" t="s">
        <v>122</v>
      </c>
      <c r="E1011" t="s">
        <v>77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夏祭り木兎光太郎ICONIC</v>
      </c>
    </row>
    <row r="1012" spans="1:20" x14ac:dyDescent="0.35">
      <c r="A1012">
        <f>VLOOKUP(Receive[[#This Row],[No用]],SetNo[[No.用]:[vlookup 用]],2,FALSE)</f>
        <v>175</v>
      </c>
      <c r="B1012" s="14">
        <f>IF(ROW()=2,1,IF(A1011&lt;&gt;Receive[[#This Row],[No]],1,B1011+1))</f>
        <v>4</v>
      </c>
      <c r="C1012" t="s">
        <v>150</v>
      </c>
      <c r="D1012" t="s">
        <v>122</v>
      </c>
      <c r="E1012" t="s">
        <v>77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夏祭り木兎光太郎ICONIC</v>
      </c>
    </row>
    <row r="1013" spans="1:20" x14ac:dyDescent="0.35">
      <c r="A1013">
        <f>VLOOKUP(Receive[[#This Row],[No用]],SetNo[[No.用]:[vlookup 用]],2,FALSE)</f>
        <v>175</v>
      </c>
      <c r="B1013" s="14">
        <f>IF(ROW()=2,1,IF(A1012&lt;&gt;Receive[[#This Row],[No]],1,B1012+1))</f>
        <v>5</v>
      </c>
      <c r="C1013" t="s">
        <v>150</v>
      </c>
      <c r="D1013" t="s">
        <v>122</v>
      </c>
      <c r="E1013" t="s">
        <v>77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夏祭り木兎光太郎ICONIC</v>
      </c>
    </row>
    <row r="1014" spans="1:20" x14ac:dyDescent="0.35">
      <c r="A1014">
        <f>VLOOKUP(Receive[[#This Row],[No用]],SetNo[[No.用]:[vlookup 用]],2,FALSE)</f>
        <v>176</v>
      </c>
      <c r="B1014" s="14">
        <f>IF(ROW()=2,1,IF(A1013&lt;&gt;Receive[[#This Row],[No]],1,B1013+1))</f>
        <v>1</v>
      </c>
      <c r="C1014" s="1" t="s">
        <v>915</v>
      </c>
      <c r="D1014" t="s">
        <v>122</v>
      </c>
      <c r="E1014" s="1" t="s">
        <v>73</v>
      </c>
      <c r="F1014" t="s">
        <v>78</v>
      </c>
      <c r="G1014" t="s">
        <v>128</v>
      </c>
      <c r="H1014" t="s">
        <v>71</v>
      </c>
      <c r="I1014">
        <v>1</v>
      </c>
      <c r="J1014" t="s">
        <v>16</v>
      </c>
      <c r="K1014" s="1" t="s">
        <v>119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Xmas木兎光太郎ICONIC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2</v>
      </c>
      <c r="C1015" s="1" t="s">
        <v>915</v>
      </c>
      <c r="D1015" t="s">
        <v>122</v>
      </c>
      <c r="E1015" s="1" t="s">
        <v>73</v>
      </c>
      <c r="F1015" t="s">
        <v>78</v>
      </c>
      <c r="G1015" t="s">
        <v>128</v>
      </c>
      <c r="H1015" t="s">
        <v>71</v>
      </c>
      <c r="I1015">
        <v>1</v>
      </c>
      <c r="J1015" t="s">
        <v>16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Xmas木兎光太郎ICONIC</v>
      </c>
    </row>
    <row r="1016" spans="1:20" x14ac:dyDescent="0.35">
      <c r="A1016">
        <f>VLOOKUP(Receive[[#This Row],[No用]],SetNo[[No.用]:[vlookup 用]],2,FALSE)</f>
        <v>176</v>
      </c>
      <c r="B1016" s="14">
        <f>IF(ROW()=2,1,IF(A1015&lt;&gt;Receive[[#This Row],[No]],1,B1015+1))</f>
        <v>3</v>
      </c>
      <c r="C1016" s="1" t="s">
        <v>915</v>
      </c>
      <c r="D1016" t="s">
        <v>122</v>
      </c>
      <c r="E1016" s="1" t="s">
        <v>73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29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Xmas木兎光太郎ICONIC</v>
      </c>
    </row>
    <row r="1017" spans="1:20" x14ac:dyDescent="0.35">
      <c r="A1017">
        <f>VLOOKUP(Receive[[#This Row],[No用]],SetNo[[No.用]:[vlookup 用]],2,FALSE)</f>
        <v>176</v>
      </c>
      <c r="B1017" s="14">
        <f>IF(ROW()=2,1,IF(A1016&lt;&gt;Receive[[#This Row],[No]],1,B1016+1))</f>
        <v>4</v>
      </c>
      <c r="C1017" s="1" t="s">
        <v>915</v>
      </c>
      <c r="D1017" t="s">
        <v>122</v>
      </c>
      <c r="E1017" s="1" t="s">
        <v>73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Xmas木兎光太郎ICONIC</v>
      </c>
    </row>
    <row r="1018" spans="1:20" x14ac:dyDescent="0.35">
      <c r="A1018">
        <f>VLOOKUP(Receive[[#This Row],[No用]],SetNo[[No.用]:[vlookup 用]],2,FALSE)</f>
        <v>176</v>
      </c>
      <c r="B1018" s="14">
        <f>IF(ROW()=2,1,IF(A1017&lt;&gt;Receive[[#This Row],[No]],1,B1017+1))</f>
        <v>5</v>
      </c>
      <c r="C1018" s="1" t="s">
        <v>915</v>
      </c>
      <c r="D1018" t="s">
        <v>122</v>
      </c>
      <c r="E1018" s="1" t="s">
        <v>73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Xmas木兎光太郎ICONIC</v>
      </c>
    </row>
    <row r="1019" spans="1:20" x14ac:dyDescent="0.35">
      <c r="A1019">
        <f>VLOOKUP(Receive[[#This Row],[No用]],SetNo[[No.用]:[vlookup 用]],2,FALSE)</f>
        <v>177</v>
      </c>
      <c r="B1019" s="14">
        <f>IF(ROW()=2,1,IF(A1018&lt;&gt;Receive[[#This Row],[No]],1,B1018+1))</f>
        <v>1</v>
      </c>
      <c r="C1019" s="1" t="s">
        <v>149</v>
      </c>
      <c r="D1019" t="s">
        <v>122</v>
      </c>
      <c r="E1019" s="1" t="s">
        <v>90</v>
      </c>
      <c r="F1019" t="s">
        <v>78</v>
      </c>
      <c r="G1019" t="s">
        <v>128</v>
      </c>
      <c r="H1019" t="s">
        <v>71</v>
      </c>
      <c r="I1019">
        <v>1</v>
      </c>
      <c r="J1019" t="s">
        <v>16</v>
      </c>
      <c r="K1019" s="1" t="s">
        <v>119</v>
      </c>
      <c r="L1019" s="1" t="s">
        <v>178</v>
      </c>
      <c r="M1019">
        <v>32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制服木兎光太郎ICONIC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2</v>
      </c>
      <c r="C1020" s="1" t="s">
        <v>149</v>
      </c>
      <c r="D1020" t="s">
        <v>122</v>
      </c>
      <c r="E1020" s="1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16</v>
      </c>
      <c r="K1020" s="1" t="s">
        <v>163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制服木兎光太郎ICONIC</v>
      </c>
    </row>
    <row r="1021" spans="1:20" x14ac:dyDescent="0.35">
      <c r="A1021">
        <f>VLOOKUP(Receive[[#This Row],[No用]],SetNo[[No.用]:[vlookup 用]],2,FALSE)</f>
        <v>177</v>
      </c>
      <c r="B1021" s="14">
        <f>IF(ROW()=2,1,IF(A1020&lt;&gt;Receive[[#This Row],[No]],1,B1020+1))</f>
        <v>3</v>
      </c>
      <c r="C1021" s="1" t="s">
        <v>149</v>
      </c>
      <c r="D1021" t="s">
        <v>122</v>
      </c>
      <c r="E1021" s="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32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制服木兎光太郎ICONIC</v>
      </c>
    </row>
    <row r="1022" spans="1:20" x14ac:dyDescent="0.35">
      <c r="A1022">
        <f>VLOOKUP(Receive[[#This Row],[No用]],SetNo[[No.用]:[vlookup 用]],2,FALSE)</f>
        <v>177</v>
      </c>
      <c r="B1022" s="14">
        <f>IF(ROW()=2,1,IF(A1021&lt;&gt;Receive[[#This Row],[No]],1,B1021+1))</f>
        <v>4</v>
      </c>
      <c r="C1022" s="1" t="s">
        <v>149</v>
      </c>
      <c r="D1022" t="s">
        <v>122</v>
      </c>
      <c r="E1022" s="1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制服木兎光太郎ICONIC</v>
      </c>
    </row>
    <row r="1023" spans="1:20" x14ac:dyDescent="0.35">
      <c r="A1023">
        <f>VLOOKUP(Receive[[#This Row],[No用]],SetNo[[No.用]:[vlookup 用]],2,FALSE)</f>
        <v>177</v>
      </c>
      <c r="B1023" s="14">
        <f>IF(ROW()=2,1,IF(A1022&lt;&gt;Receive[[#This Row],[No]],1,B1022+1))</f>
        <v>5</v>
      </c>
      <c r="C1023" s="1" t="s">
        <v>149</v>
      </c>
      <c r="D1023" t="s">
        <v>122</v>
      </c>
      <c r="E1023" s="1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制服木兎光太郎ICONIC</v>
      </c>
    </row>
    <row r="1024" spans="1:20" x14ac:dyDescent="0.35">
      <c r="A1024">
        <f>VLOOKUP(Receive[[#This Row],[No用]],SetNo[[No.用]:[vlookup 用]],2,FALSE)</f>
        <v>178</v>
      </c>
      <c r="B1024" s="14">
        <f>IF(ROW()=2,1,IF(A1023&lt;&gt;Receive[[#This Row],[No]],1,B1023+1))</f>
        <v>1</v>
      </c>
      <c r="C1024" t="s">
        <v>108</v>
      </c>
      <c r="D1024" t="s">
        <v>123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173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ユニフォーム木葉秋紀ICONIC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2</v>
      </c>
      <c r="C1025" t="s">
        <v>108</v>
      </c>
      <c r="D1025" t="s">
        <v>123</v>
      </c>
      <c r="E1025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30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ユニフォーム木葉秋紀ICONIC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3</v>
      </c>
      <c r="C1026" t="s">
        <v>108</v>
      </c>
      <c r="D1026" t="s">
        <v>123</v>
      </c>
      <c r="E1026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30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ユニフォーム木葉秋紀ICONIC</v>
      </c>
    </row>
    <row r="1027" spans="1:20" x14ac:dyDescent="0.35">
      <c r="A1027">
        <f>VLOOKUP(Receive[[#This Row],[No用]],SetNo[[No.用]:[vlookup 用]],2,FALSE)</f>
        <v>178</v>
      </c>
      <c r="B1027" s="14">
        <f>IF(ROW()=2,1,IF(A1026&lt;&gt;Receive[[#This Row],[No]],1,B1026+1))</f>
        <v>4</v>
      </c>
      <c r="C1027" t="s">
        <v>108</v>
      </c>
      <c r="D1027" t="s">
        <v>123</v>
      </c>
      <c r="E1027" t="s">
        <v>90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173</v>
      </c>
      <c r="M1027">
        <v>33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ユニフォーム木葉秋紀ICONIC</v>
      </c>
    </row>
    <row r="1028" spans="1:20" x14ac:dyDescent="0.35">
      <c r="A1028">
        <f>VLOOKUP(Receive[[#This Row],[No用]],SetNo[[No.用]:[vlookup 用]],2,FALSE)</f>
        <v>178</v>
      </c>
      <c r="B1028" s="14">
        <f>IF(ROW()=2,1,IF(A1027&lt;&gt;Receive[[#This Row],[No]],1,B1027+1))</f>
        <v>5</v>
      </c>
      <c r="C1028" t="s">
        <v>108</v>
      </c>
      <c r="D1028" t="s">
        <v>123</v>
      </c>
      <c r="E1028" t="s">
        <v>90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30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ユニフォーム木葉秋紀ICONIC</v>
      </c>
    </row>
    <row r="1029" spans="1:20" x14ac:dyDescent="0.35">
      <c r="A1029">
        <f>VLOOKUP(Receive[[#This Row],[No用]],SetNo[[No.用]:[vlookup 用]],2,FALSE)</f>
        <v>178</v>
      </c>
      <c r="B1029" s="14">
        <f>IF(ROW()=2,1,IF(A1028&lt;&gt;Receive[[#This Row],[No]],1,B1028+1))</f>
        <v>6</v>
      </c>
      <c r="C1029" t="s">
        <v>108</v>
      </c>
      <c r="D1029" t="s">
        <v>123</v>
      </c>
      <c r="E1029" t="s">
        <v>90</v>
      </c>
      <c r="F1029" t="s">
        <v>78</v>
      </c>
      <c r="G1029" t="s">
        <v>128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ユニフォーム木葉秋紀ICONIC</v>
      </c>
    </row>
    <row r="1030" spans="1:20" x14ac:dyDescent="0.35">
      <c r="A1030">
        <f>VLOOKUP(Receive[[#This Row],[No用]],SetNo[[No.用]:[vlookup 用]],2,FALSE)</f>
        <v>179</v>
      </c>
      <c r="B1030" s="14">
        <f>IF(ROW()=2,1,IF(A1029&lt;&gt;Receive[[#This Row],[No]],1,B1029+1))</f>
        <v>1</v>
      </c>
      <c r="C1030" s="1" t="s">
        <v>386</v>
      </c>
      <c r="D1030" t="s">
        <v>123</v>
      </c>
      <c r="E1030" s="1" t="s">
        <v>77</v>
      </c>
      <c r="F1030" t="s">
        <v>78</v>
      </c>
      <c r="G1030" t="s">
        <v>128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173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探偵木葉秋紀ICONIC</v>
      </c>
    </row>
    <row r="1031" spans="1:20" x14ac:dyDescent="0.35">
      <c r="A1031">
        <f>VLOOKUP(Receive[[#This Row],[No用]],SetNo[[No.用]:[vlookup 用]],2,FALSE)</f>
        <v>179</v>
      </c>
      <c r="B1031" s="14">
        <f>IF(ROW()=2,1,IF(A1030&lt;&gt;Receive[[#This Row],[No]],1,B1030+1))</f>
        <v>2</v>
      </c>
      <c r="C1031" s="1" t="s">
        <v>386</v>
      </c>
      <c r="D1031" t="s">
        <v>123</v>
      </c>
      <c r="E1031" s="1" t="s">
        <v>77</v>
      </c>
      <c r="F1031" t="s">
        <v>78</v>
      </c>
      <c r="G1031" t="s">
        <v>128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30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探偵木葉秋紀ICONIC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3</v>
      </c>
      <c r="C1032" s="1" t="s">
        <v>386</v>
      </c>
      <c r="D1032" t="s">
        <v>123</v>
      </c>
      <c r="E1032" s="1" t="s">
        <v>77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30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探偵木葉秋紀ICONIC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4</v>
      </c>
      <c r="C1033" s="1" t="s">
        <v>386</v>
      </c>
      <c r="D1033" t="s">
        <v>123</v>
      </c>
      <c r="E1033" s="1" t="s">
        <v>77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173</v>
      </c>
      <c r="M1033">
        <v>33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探偵木葉秋紀ICONIC</v>
      </c>
    </row>
    <row r="1034" spans="1:20" x14ac:dyDescent="0.35">
      <c r="A1034">
        <f>VLOOKUP(Receive[[#This Row],[No用]],SetNo[[No.用]:[vlookup 用]],2,FALSE)</f>
        <v>179</v>
      </c>
      <c r="B1034" s="14">
        <f>IF(ROW()=2,1,IF(A1033&lt;&gt;Receive[[#This Row],[No]],1,B1033+1))</f>
        <v>5</v>
      </c>
      <c r="C1034" s="1" t="s">
        <v>386</v>
      </c>
      <c r="D1034" t="s">
        <v>123</v>
      </c>
      <c r="E1034" s="1" t="s">
        <v>77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30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探偵木葉秋紀ICONIC</v>
      </c>
    </row>
    <row r="1035" spans="1:20" x14ac:dyDescent="0.35">
      <c r="A1035">
        <f>VLOOKUP(Receive[[#This Row],[No用]],SetNo[[No.用]:[vlookup 用]],2,FALSE)</f>
        <v>179</v>
      </c>
      <c r="B1035" s="14">
        <f>IF(ROW()=2,1,IF(A1034&lt;&gt;Receive[[#This Row],[No]],1,B1034+1))</f>
        <v>6</v>
      </c>
      <c r="C1035" s="1" t="s">
        <v>386</v>
      </c>
      <c r="D1035" t="s">
        <v>123</v>
      </c>
      <c r="E1035" s="1" t="s">
        <v>77</v>
      </c>
      <c r="F1035" t="s">
        <v>78</v>
      </c>
      <c r="G1035" t="s">
        <v>128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探偵木葉秋紀ICONIC</v>
      </c>
    </row>
    <row r="1036" spans="1:20" x14ac:dyDescent="0.35">
      <c r="A1036">
        <f>VLOOKUP(Receive[[#This Row],[No用]],SetNo[[No.用]:[vlookup 用]],2,FALSE)</f>
        <v>179</v>
      </c>
      <c r="B1036" s="14">
        <f>IF(ROW()=2,1,IF(A1035&lt;&gt;Receive[[#This Row],[No]],1,B1035+1))</f>
        <v>7</v>
      </c>
      <c r="C1036" s="1" t="s">
        <v>386</v>
      </c>
      <c r="D1036" t="s">
        <v>123</v>
      </c>
      <c r="E1036" s="1" t="s">
        <v>77</v>
      </c>
      <c r="F1036" t="s">
        <v>78</v>
      </c>
      <c r="G1036" t="s">
        <v>128</v>
      </c>
      <c r="H1036" t="s">
        <v>71</v>
      </c>
      <c r="I1036">
        <v>1</v>
      </c>
      <c r="J1036" t="s">
        <v>229</v>
      </c>
      <c r="K1036" s="1" t="s">
        <v>183</v>
      </c>
      <c r="L1036" s="1" t="s">
        <v>225</v>
      </c>
      <c r="M1036">
        <v>49</v>
      </c>
      <c r="N1036">
        <v>0</v>
      </c>
      <c r="O1036">
        <v>59</v>
      </c>
      <c r="P1036">
        <v>0</v>
      </c>
      <c r="T1036" t="str">
        <f>Receive[[#This Row],[服装]]&amp;Receive[[#This Row],[名前]]&amp;Receive[[#This Row],[レアリティ]]</f>
        <v>探偵木葉秋紀ICONIC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1</v>
      </c>
      <c r="C1037" t="s">
        <v>108</v>
      </c>
      <c r="D1037" t="s">
        <v>124</v>
      </c>
      <c r="E1037" t="s">
        <v>90</v>
      </c>
      <c r="F1037" t="s">
        <v>78</v>
      </c>
      <c r="G1037" t="s">
        <v>128</v>
      </c>
      <c r="H1037" t="s">
        <v>71</v>
      </c>
      <c r="I1037">
        <v>1</v>
      </c>
      <c r="J1037" t="s">
        <v>229</v>
      </c>
      <c r="K1037" s="1" t="s">
        <v>119</v>
      </c>
      <c r="L1037" s="1" t="s">
        <v>699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ユニフォーム猿杙大和ICONIC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2</v>
      </c>
      <c r="C1038" t="s">
        <v>108</v>
      </c>
      <c r="D1038" t="s">
        <v>124</v>
      </c>
      <c r="E1038" t="s">
        <v>90</v>
      </c>
      <c r="F1038" t="s">
        <v>78</v>
      </c>
      <c r="G1038" t="s">
        <v>128</v>
      </c>
      <c r="H1038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25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ユニフォーム猿杙大和ICONIC</v>
      </c>
    </row>
    <row r="1039" spans="1:20" x14ac:dyDescent="0.35">
      <c r="A1039">
        <f>VLOOKUP(Receive[[#This Row],[No用]],SetNo[[No.用]:[vlookup 用]],2,FALSE)</f>
        <v>180</v>
      </c>
      <c r="B1039" s="14">
        <f>IF(ROW()=2,1,IF(A1038&lt;&gt;Receive[[#This Row],[No]],1,B1038+1))</f>
        <v>3</v>
      </c>
      <c r="C1039" t="s">
        <v>108</v>
      </c>
      <c r="D1039" t="s">
        <v>124</v>
      </c>
      <c r="E1039" t="s">
        <v>90</v>
      </c>
      <c r="F1039" t="s">
        <v>78</v>
      </c>
      <c r="G1039" t="s">
        <v>128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699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ユニフォーム猿杙大和ICONIC</v>
      </c>
    </row>
    <row r="1040" spans="1:20" x14ac:dyDescent="0.35">
      <c r="A1040">
        <f>VLOOKUP(Receive[[#This Row],[No用]],SetNo[[No.用]:[vlookup 用]],2,FALSE)</f>
        <v>180</v>
      </c>
      <c r="B1040" s="14">
        <f>IF(ROW()=2,1,IF(A1039&lt;&gt;Receive[[#This Row],[No]],1,B1039+1))</f>
        <v>4</v>
      </c>
      <c r="C1040" t="s">
        <v>108</v>
      </c>
      <c r="D1040" t="s">
        <v>124</v>
      </c>
      <c r="E1040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25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ユニフォーム猿杙大和ICONIC</v>
      </c>
    </row>
    <row r="1041" spans="1:20" x14ac:dyDescent="0.35">
      <c r="A1041">
        <f>VLOOKUP(Receive[[#This Row],[No用]],SetNo[[No.用]:[vlookup 用]],2,FALSE)</f>
        <v>180</v>
      </c>
      <c r="B1041" s="14">
        <f>IF(ROW()=2,1,IF(A1040&lt;&gt;Receive[[#This Row],[No]],1,B1040+1))</f>
        <v>5</v>
      </c>
      <c r="C1041" t="s">
        <v>108</v>
      </c>
      <c r="D1041" t="s">
        <v>124</v>
      </c>
      <c r="E104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12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ユニフォーム猿杙大和ICONIC</v>
      </c>
    </row>
    <row r="1042" spans="1:20" x14ac:dyDescent="0.35">
      <c r="A1042">
        <f>VLOOKUP(Receive[[#This Row],[No用]],SetNo[[No.用]:[vlookup 用]],2,FALSE)</f>
        <v>181</v>
      </c>
      <c r="B1042" s="14">
        <f>IF(ROW()=2,1,IF(A1041&lt;&gt;Receive[[#This Row],[No]],1,B1041+1))</f>
        <v>1</v>
      </c>
      <c r="C1042" t="s">
        <v>108</v>
      </c>
      <c r="D1042" t="s">
        <v>125</v>
      </c>
      <c r="E1042" t="s">
        <v>90</v>
      </c>
      <c r="F1042" t="s">
        <v>80</v>
      </c>
      <c r="G1042" t="s">
        <v>128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173</v>
      </c>
      <c r="M1042">
        <v>35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ユニフォーム小見春樹ICONIC</v>
      </c>
    </row>
    <row r="1043" spans="1:20" x14ac:dyDescent="0.35">
      <c r="A1043">
        <f>VLOOKUP(Receive[[#This Row],[No用]],SetNo[[No.用]:[vlookup 用]],2,FALSE)</f>
        <v>181</v>
      </c>
      <c r="B1043" s="14">
        <f>IF(ROW()=2,1,IF(A1042&lt;&gt;Receive[[#This Row],[No]],1,B1042+1))</f>
        <v>2</v>
      </c>
      <c r="C1043" t="s">
        <v>108</v>
      </c>
      <c r="D1043" t="s">
        <v>125</v>
      </c>
      <c r="E1043" t="s">
        <v>90</v>
      </c>
      <c r="F1043" t="s">
        <v>80</v>
      </c>
      <c r="G1043" t="s">
        <v>128</v>
      </c>
      <c r="H1043" t="s">
        <v>71</v>
      </c>
      <c r="I1043">
        <v>1</v>
      </c>
      <c r="J1043" t="s">
        <v>229</v>
      </c>
      <c r="K1043" s="1" t="s">
        <v>195</v>
      </c>
      <c r="L1043" s="1" t="s">
        <v>178</v>
      </c>
      <c r="M1043">
        <v>41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ユニフォーム小見春樹ICONIC</v>
      </c>
    </row>
    <row r="1044" spans="1:20" x14ac:dyDescent="0.35">
      <c r="A1044">
        <f>VLOOKUP(Receive[[#This Row],[No用]],SetNo[[No.用]:[vlookup 用]],2,FALSE)</f>
        <v>181</v>
      </c>
      <c r="B1044" s="14">
        <f>IF(ROW()=2,1,IF(A1043&lt;&gt;Receive[[#This Row],[No]],1,B1043+1))</f>
        <v>3</v>
      </c>
      <c r="C1044" t="s">
        <v>108</v>
      </c>
      <c r="D1044" t="s">
        <v>125</v>
      </c>
      <c r="E1044" t="s">
        <v>90</v>
      </c>
      <c r="F1044" t="s">
        <v>80</v>
      </c>
      <c r="G1044" t="s">
        <v>128</v>
      </c>
      <c r="H1044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32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ユニフォーム小見春樹ICONIC</v>
      </c>
    </row>
    <row r="1045" spans="1:20" x14ac:dyDescent="0.35">
      <c r="A1045">
        <f>VLOOKUP(Receive[[#This Row],[No用]],SetNo[[No.用]:[vlookup 用]],2,FALSE)</f>
        <v>181</v>
      </c>
      <c r="B1045" s="14">
        <f>IF(ROW()=2,1,IF(A1044&lt;&gt;Receive[[#This Row],[No]],1,B1044+1))</f>
        <v>4</v>
      </c>
      <c r="C1045" t="s">
        <v>108</v>
      </c>
      <c r="D1045" t="s">
        <v>125</v>
      </c>
      <c r="E1045" t="s">
        <v>90</v>
      </c>
      <c r="F1045" t="s">
        <v>80</v>
      </c>
      <c r="G1045" t="s">
        <v>128</v>
      </c>
      <c r="H1045" t="s">
        <v>71</v>
      </c>
      <c r="I1045">
        <v>1</v>
      </c>
      <c r="J1045" t="s">
        <v>229</v>
      </c>
      <c r="K1045" s="1" t="s">
        <v>231</v>
      </c>
      <c r="L1045" s="1" t="s">
        <v>162</v>
      </c>
      <c r="M1045">
        <v>32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ユニフォーム小見春樹ICONIC</v>
      </c>
    </row>
    <row r="1046" spans="1:20" x14ac:dyDescent="0.35">
      <c r="A1046">
        <f>VLOOKUP(Receive[[#This Row],[No用]],SetNo[[No.用]:[vlookup 用]],2,FALSE)</f>
        <v>181</v>
      </c>
      <c r="B1046" s="14">
        <f>IF(ROW()=2,1,IF(A1045&lt;&gt;Receive[[#This Row],[No]],1,B1045+1))</f>
        <v>5</v>
      </c>
      <c r="C1046" t="s">
        <v>108</v>
      </c>
      <c r="D1046" t="s">
        <v>125</v>
      </c>
      <c r="E1046" t="s">
        <v>90</v>
      </c>
      <c r="F1046" t="s">
        <v>80</v>
      </c>
      <c r="G1046" t="s">
        <v>128</v>
      </c>
      <c r="H1046" t="s">
        <v>71</v>
      </c>
      <c r="I1046">
        <v>1</v>
      </c>
      <c r="J1046" t="s">
        <v>229</v>
      </c>
      <c r="K1046" s="1" t="s">
        <v>120</v>
      </c>
      <c r="L1046" s="1" t="s">
        <v>173</v>
      </c>
      <c r="M1046">
        <v>35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ユニフォーム小見春樹ICONIC</v>
      </c>
    </row>
    <row r="1047" spans="1:20" x14ac:dyDescent="0.35">
      <c r="A1047">
        <f>VLOOKUP(Receive[[#This Row],[No用]],SetNo[[No.用]:[vlookup 用]],2,FALSE)</f>
        <v>181</v>
      </c>
      <c r="B1047" s="14">
        <f>IF(ROW()=2,1,IF(A1046&lt;&gt;Receive[[#This Row],[No]],1,B1046+1))</f>
        <v>6</v>
      </c>
      <c r="C1047" t="s">
        <v>108</v>
      </c>
      <c r="D1047" t="s">
        <v>125</v>
      </c>
      <c r="E1047" t="s">
        <v>90</v>
      </c>
      <c r="F1047" t="s">
        <v>80</v>
      </c>
      <c r="G1047" t="s">
        <v>128</v>
      </c>
      <c r="H1047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32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ユニフォーム小見春樹ICONIC</v>
      </c>
    </row>
    <row r="1048" spans="1:20" x14ac:dyDescent="0.35">
      <c r="A1048">
        <f>VLOOKUP(Receive[[#This Row],[No用]],SetNo[[No.用]:[vlookup 用]],2,FALSE)</f>
        <v>181</v>
      </c>
      <c r="B1048" s="14">
        <f>IF(ROW()=2,1,IF(A1047&lt;&gt;Receive[[#This Row],[No]],1,B1047+1))</f>
        <v>7</v>
      </c>
      <c r="C1048" t="s">
        <v>108</v>
      </c>
      <c r="D1048" t="s">
        <v>125</v>
      </c>
      <c r="E1048" t="s">
        <v>90</v>
      </c>
      <c r="F1048" t="s">
        <v>80</v>
      </c>
      <c r="G1048" t="s">
        <v>128</v>
      </c>
      <c r="H1048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ユニフォーム小見春樹ICONIC</v>
      </c>
    </row>
    <row r="1049" spans="1:20" x14ac:dyDescent="0.35">
      <c r="A1049">
        <f>VLOOKUP(Receive[[#This Row],[No用]],SetNo[[No.用]:[vlookup 用]],2,FALSE)</f>
        <v>181</v>
      </c>
      <c r="B1049" s="14">
        <f>IF(ROW()=2,1,IF(A1048&lt;&gt;Receive[[#This Row],[No]],1,B1048+1))</f>
        <v>8</v>
      </c>
      <c r="C1049" t="s">
        <v>108</v>
      </c>
      <c r="D1049" t="s">
        <v>125</v>
      </c>
      <c r="E1049" t="s">
        <v>90</v>
      </c>
      <c r="F1049" t="s">
        <v>80</v>
      </c>
      <c r="G1049" t="s">
        <v>128</v>
      </c>
      <c r="H1049" t="s">
        <v>71</v>
      </c>
      <c r="I1049">
        <v>1</v>
      </c>
      <c r="J1049" t="s">
        <v>229</v>
      </c>
      <c r="K1049" s="1" t="s">
        <v>183</v>
      </c>
      <c r="L1049" s="1" t="s">
        <v>225</v>
      </c>
      <c r="M1049">
        <v>45</v>
      </c>
      <c r="N1049">
        <v>0</v>
      </c>
      <c r="O1049">
        <v>55</v>
      </c>
      <c r="P1049">
        <v>0</v>
      </c>
      <c r="T1049" t="str">
        <f>Receive[[#This Row],[服装]]&amp;Receive[[#This Row],[名前]]&amp;Receive[[#This Row],[レアリティ]]</f>
        <v>ユニフォーム小見春樹ICONIC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1</v>
      </c>
      <c r="C1050" t="s">
        <v>108</v>
      </c>
      <c r="D1050" t="s">
        <v>126</v>
      </c>
      <c r="E1050" t="s">
        <v>90</v>
      </c>
      <c r="F1050" t="s">
        <v>82</v>
      </c>
      <c r="G1050" t="s">
        <v>128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162</v>
      </c>
      <c r="M1050">
        <v>25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ユニフォーム尾長渉ICONIC</v>
      </c>
    </row>
    <row r="1051" spans="1:20" x14ac:dyDescent="0.35">
      <c r="A1051">
        <f>VLOOKUP(Receive[[#This Row],[No用]],SetNo[[No.用]:[vlookup 用]],2,FALSE)</f>
        <v>182</v>
      </c>
      <c r="B1051" s="14">
        <f>IF(ROW()=2,1,IF(A1050&lt;&gt;Receive[[#This Row],[No]],1,B1050+1))</f>
        <v>2</v>
      </c>
      <c r="C1051" t="s">
        <v>108</v>
      </c>
      <c r="D1051" t="s">
        <v>126</v>
      </c>
      <c r="E1051" t="s">
        <v>90</v>
      </c>
      <c r="F1051" t="s">
        <v>82</v>
      </c>
      <c r="G1051" t="s">
        <v>128</v>
      </c>
      <c r="H1051" t="s">
        <v>71</v>
      </c>
      <c r="I1051">
        <v>1</v>
      </c>
      <c r="J1051" t="s">
        <v>229</v>
      </c>
      <c r="K1051" s="1" t="s">
        <v>163</v>
      </c>
      <c r="L1051" s="1" t="s">
        <v>162</v>
      </c>
      <c r="M1051">
        <v>25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ユニフォーム尾長渉ICONIC</v>
      </c>
    </row>
    <row r="1052" spans="1:20" x14ac:dyDescent="0.35">
      <c r="A1052">
        <f>VLOOKUP(Receive[[#This Row],[No用]],SetNo[[No.用]:[vlookup 用]],2,FALSE)</f>
        <v>182</v>
      </c>
      <c r="B1052" s="14">
        <f>IF(ROW()=2,1,IF(A1051&lt;&gt;Receive[[#This Row],[No]],1,B1051+1))</f>
        <v>3</v>
      </c>
      <c r="C1052" t="s">
        <v>108</v>
      </c>
      <c r="D1052" t="s">
        <v>126</v>
      </c>
      <c r="E1052" t="s">
        <v>90</v>
      </c>
      <c r="F1052" t="s">
        <v>82</v>
      </c>
      <c r="G1052" t="s">
        <v>128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162</v>
      </c>
      <c r="M1052">
        <v>25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ユニフォーム尾長渉ICONIC</v>
      </c>
    </row>
    <row r="1053" spans="1:20" x14ac:dyDescent="0.35">
      <c r="A1053">
        <f>VLOOKUP(Receive[[#This Row],[No用]],SetNo[[No.用]:[vlookup 用]],2,FALSE)</f>
        <v>182</v>
      </c>
      <c r="B1053" s="14">
        <f>IF(ROW()=2,1,IF(A1052&lt;&gt;Receive[[#This Row],[No]],1,B1052+1))</f>
        <v>4</v>
      </c>
      <c r="C1053" t="s">
        <v>108</v>
      </c>
      <c r="D1053" t="s">
        <v>126</v>
      </c>
      <c r="E1053" t="s">
        <v>90</v>
      </c>
      <c r="F1053" t="s">
        <v>82</v>
      </c>
      <c r="G1053" t="s">
        <v>128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25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ユニフォーム尾長渉ICONIC</v>
      </c>
    </row>
    <row r="1054" spans="1:20" x14ac:dyDescent="0.35">
      <c r="A1054">
        <f>VLOOKUP(Receive[[#This Row],[No用]],SetNo[[No.用]:[vlookup 用]],2,FALSE)</f>
        <v>182</v>
      </c>
      <c r="B1054" s="14">
        <f>IF(ROW()=2,1,IF(A1053&lt;&gt;Receive[[#This Row],[No]],1,B1053+1))</f>
        <v>5</v>
      </c>
      <c r="C1054" t="s">
        <v>108</v>
      </c>
      <c r="D1054" t="s">
        <v>126</v>
      </c>
      <c r="E1054" t="s">
        <v>90</v>
      </c>
      <c r="F1054" t="s">
        <v>82</v>
      </c>
      <c r="G1054" t="s">
        <v>128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12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ユニフォーム尾長渉ICONIC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1</v>
      </c>
      <c r="C1055" t="s">
        <v>108</v>
      </c>
      <c r="D1055" t="s">
        <v>127</v>
      </c>
      <c r="E1055" t="s">
        <v>90</v>
      </c>
      <c r="F1055" t="s">
        <v>82</v>
      </c>
      <c r="G1055" t="s">
        <v>128</v>
      </c>
      <c r="H1055" t="s">
        <v>71</v>
      </c>
      <c r="I1055">
        <v>1</v>
      </c>
      <c r="J1055" t="s">
        <v>16</v>
      </c>
      <c r="K1055" s="1" t="s">
        <v>119</v>
      </c>
      <c r="L1055" s="1" t="s">
        <v>162</v>
      </c>
      <c r="M1055">
        <v>26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ユニフォーム鷲尾辰生ICONIC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2</v>
      </c>
      <c r="C1056" t="s">
        <v>108</v>
      </c>
      <c r="D1056" t="s">
        <v>127</v>
      </c>
      <c r="E1056" t="s">
        <v>90</v>
      </c>
      <c r="F1056" t="s">
        <v>82</v>
      </c>
      <c r="G1056" t="s">
        <v>128</v>
      </c>
      <c r="H1056" t="s">
        <v>71</v>
      </c>
      <c r="I1056">
        <v>1</v>
      </c>
      <c r="J1056" t="s">
        <v>229</v>
      </c>
      <c r="K1056" s="1" t="s">
        <v>163</v>
      </c>
      <c r="L1056" s="1" t="s">
        <v>162</v>
      </c>
      <c r="M1056">
        <v>26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ユニフォーム鷲尾辰生ICONIC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3</v>
      </c>
      <c r="C1057" t="s">
        <v>108</v>
      </c>
      <c r="D1057" t="s">
        <v>127</v>
      </c>
      <c r="E1057" t="s">
        <v>90</v>
      </c>
      <c r="F1057" t="s">
        <v>82</v>
      </c>
      <c r="G1057" t="s">
        <v>128</v>
      </c>
      <c r="H1057" t="s">
        <v>71</v>
      </c>
      <c r="I1057">
        <v>1</v>
      </c>
      <c r="J1057" t="s">
        <v>229</v>
      </c>
      <c r="K1057" s="1" t="s">
        <v>120</v>
      </c>
      <c r="L1057" s="1" t="s">
        <v>162</v>
      </c>
      <c r="M1057">
        <v>26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ユニフォーム鷲尾辰生ICONIC</v>
      </c>
    </row>
    <row r="1058" spans="1:20" x14ac:dyDescent="0.35">
      <c r="A1058">
        <f>VLOOKUP(Receive[[#This Row],[No用]],SetNo[[No.用]:[vlookup 用]],2,FALSE)</f>
        <v>183</v>
      </c>
      <c r="B1058" s="14">
        <f>IF(ROW()=2,1,IF(A1057&lt;&gt;Receive[[#This Row],[No]],1,B1057+1))</f>
        <v>4</v>
      </c>
      <c r="C1058" t="s">
        <v>108</v>
      </c>
      <c r="D1058" t="s">
        <v>127</v>
      </c>
      <c r="E1058" t="s">
        <v>90</v>
      </c>
      <c r="F1058" t="s">
        <v>82</v>
      </c>
      <c r="G1058" t="s">
        <v>128</v>
      </c>
      <c r="H1058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26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ユニフォーム鷲尾辰生ICONIC</v>
      </c>
    </row>
    <row r="1059" spans="1:20" x14ac:dyDescent="0.35">
      <c r="A1059">
        <f>VLOOKUP(Receive[[#This Row],[No用]],SetNo[[No.用]:[vlookup 用]],2,FALSE)</f>
        <v>183</v>
      </c>
      <c r="B1059" s="14">
        <f>IF(ROW()=2,1,IF(A1058&lt;&gt;Receive[[#This Row],[No]],1,B1058+1))</f>
        <v>5</v>
      </c>
      <c r="C1059" t="s">
        <v>108</v>
      </c>
      <c r="D1059" t="s">
        <v>127</v>
      </c>
      <c r="E1059" t="s">
        <v>90</v>
      </c>
      <c r="F1059" t="s">
        <v>82</v>
      </c>
      <c r="G1059" t="s">
        <v>128</v>
      </c>
      <c r="H1059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ユニフォーム鷲尾辰生ICONIC</v>
      </c>
    </row>
    <row r="1060" spans="1:20" x14ac:dyDescent="0.35">
      <c r="A1060">
        <f>VLOOKUP(Receive[[#This Row],[No用]],SetNo[[No.用]:[vlookup 用]],2,FALSE)</f>
        <v>184</v>
      </c>
      <c r="B1060" s="14">
        <f>IF(ROW()=2,1,IF(A1059&lt;&gt;Receive[[#This Row],[No]],1,B1059+1))</f>
        <v>1</v>
      </c>
      <c r="C1060" t="s">
        <v>108</v>
      </c>
      <c r="D1060" t="s">
        <v>129</v>
      </c>
      <c r="E1060" t="s">
        <v>73</v>
      </c>
      <c r="F1060" t="s">
        <v>74</v>
      </c>
      <c r="G1060" t="s">
        <v>128</v>
      </c>
      <c r="H1060" t="s">
        <v>71</v>
      </c>
      <c r="I1060">
        <v>1</v>
      </c>
      <c r="J1060" t="s">
        <v>229</v>
      </c>
      <c r="K1060" s="1" t="s">
        <v>119</v>
      </c>
      <c r="L1060" s="1" t="s">
        <v>178</v>
      </c>
      <c r="M1060">
        <v>34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ユニフォーム赤葦京治ICONIC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2</v>
      </c>
      <c r="C1061" t="s">
        <v>108</v>
      </c>
      <c r="D1061" t="s">
        <v>129</v>
      </c>
      <c r="E1061" t="s">
        <v>73</v>
      </c>
      <c r="F1061" t="s">
        <v>74</v>
      </c>
      <c r="G1061" t="s">
        <v>128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ユニフォーム赤葦京治ICONIC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3</v>
      </c>
      <c r="C1062" t="s">
        <v>108</v>
      </c>
      <c r="D1062" t="s">
        <v>129</v>
      </c>
      <c r="E1062" t="s">
        <v>73</v>
      </c>
      <c r="F1062" t="s">
        <v>74</v>
      </c>
      <c r="G1062" t="s">
        <v>128</v>
      </c>
      <c r="H1062" t="s">
        <v>71</v>
      </c>
      <c r="I1062">
        <v>1</v>
      </c>
      <c r="J1062" t="s">
        <v>229</v>
      </c>
      <c r="K1062" s="1" t="s">
        <v>231</v>
      </c>
      <c r="L1062" s="1" t="s">
        <v>162</v>
      </c>
      <c r="M1062">
        <v>31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ユニフォーム赤葦京治ICONIC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4</v>
      </c>
      <c r="C1063" t="s">
        <v>108</v>
      </c>
      <c r="D1063" t="s">
        <v>129</v>
      </c>
      <c r="E1063" t="s">
        <v>73</v>
      </c>
      <c r="F1063" t="s">
        <v>74</v>
      </c>
      <c r="G1063" t="s">
        <v>128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178</v>
      </c>
      <c r="M1063">
        <v>34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ユニフォーム赤葦京治ICONIC</v>
      </c>
    </row>
    <row r="1064" spans="1:20" x14ac:dyDescent="0.35">
      <c r="A1064">
        <f>VLOOKUP(Receive[[#This Row],[No用]],SetNo[[No.用]:[vlookup 用]],2,FALSE)</f>
        <v>184</v>
      </c>
      <c r="B1064" s="14">
        <f>IF(ROW()=2,1,IF(A1063&lt;&gt;Receive[[#This Row],[No]],1,B1063+1))</f>
        <v>5</v>
      </c>
      <c r="C1064" t="s">
        <v>108</v>
      </c>
      <c r="D1064" t="s">
        <v>129</v>
      </c>
      <c r="E1064" t="s">
        <v>73</v>
      </c>
      <c r="F1064" t="s">
        <v>74</v>
      </c>
      <c r="G1064" t="s">
        <v>128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31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ユニフォーム赤葦京治ICONIC</v>
      </c>
    </row>
    <row r="1065" spans="1:20" x14ac:dyDescent="0.35">
      <c r="A1065">
        <f>VLOOKUP(Receive[[#This Row],[No用]],SetNo[[No.用]:[vlookup 用]],2,FALSE)</f>
        <v>184</v>
      </c>
      <c r="B1065" s="14">
        <f>IF(ROW()=2,1,IF(A1064&lt;&gt;Receive[[#This Row],[No]],1,B1064+1))</f>
        <v>6</v>
      </c>
      <c r="C1065" t="s">
        <v>108</v>
      </c>
      <c r="D1065" t="s">
        <v>129</v>
      </c>
      <c r="E1065" t="s">
        <v>73</v>
      </c>
      <c r="F1065" t="s">
        <v>74</v>
      </c>
      <c r="G1065" t="s">
        <v>128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ユニフォーム赤葦京治ICONIC</v>
      </c>
    </row>
    <row r="1066" spans="1:20" x14ac:dyDescent="0.35">
      <c r="A1066">
        <f>VLOOKUP(Receive[[#This Row],[No用]],SetNo[[No.用]:[vlookup 用]],2,FALSE)</f>
        <v>185</v>
      </c>
      <c r="B1066" s="14">
        <f>IF(ROW()=2,1,IF(A1065&lt;&gt;Receive[[#This Row],[No]],1,B1065+1))</f>
        <v>1</v>
      </c>
      <c r="C1066" t="s">
        <v>150</v>
      </c>
      <c r="D1066" t="s">
        <v>129</v>
      </c>
      <c r="E1066" t="s">
        <v>90</v>
      </c>
      <c r="F1066" t="s">
        <v>74</v>
      </c>
      <c r="G1066" t="s">
        <v>128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178</v>
      </c>
      <c r="M1066">
        <v>34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夏祭り赤葦京治ICONIC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2</v>
      </c>
      <c r="C1067" t="s">
        <v>150</v>
      </c>
      <c r="D1067" t="s">
        <v>129</v>
      </c>
      <c r="E1067" t="s">
        <v>90</v>
      </c>
      <c r="F1067" t="s">
        <v>74</v>
      </c>
      <c r="G1067" t="s">
        <v>128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31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夏祭り赤葦京治ICONIC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3</v>
      </c>
      <c r="C1068" t="s">
        <v>150</v>
      </c>
      <c r="D1068" t="s">
        <v>129</v>
      </c>
      <c r="E1068" t="s">
        <v>90</v>
      </c>
      <c r="F1068" t="s">
        <v>74</v>
      </c>
      <c r="G1068" t="s">
        <v>128</v>
      </c>
      <c r="H1068" t="s">
        <v>71</v>
      </c>
      <c r="I1068">
        <v>1</v>
      </c>
      <c r="J1068" t="s">
        <v>229</v>
      </c>
      <c r="K1068" s="1" t="s">
        <v>231</v>
      </c>
      <c r="L1068" s="1" t="s">
        <v>162</v>
      </c>
      <c r="M1068">
        <v>31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夏祭り赤葦京治ICONIC</v>
      </c>
    </row>
    <row r="1069" spans="1:20" x14ac:dyDescent="0.35">
      <c r="A1069">
        <f>VLOOKUP(Receive[[#This Row],[No用]],SetNo[[No.用]:[vlookup 用]],2,FALSE)</f>
        <v>185</v>
      </c>
      <c r="B1069" s="14">
        <f>IF(ROW()=2,1,IF(A1068&lt;&gt;Receive[[#This Row],[No]],1,B1068+1))</f>
        <v>4</v>
      </c>
      <c r="C1069" t="s">
        <v>150</v>
      </c>
      <c r="D1069" t="s">
        <v>129</v>
      </c>
      <c r="E1069" t="s">
        <v>90</v>
      </c>
      <c r="F1069" t="s">
        <v>74</v>
      </c>
      <c r="G1069" t="s">
        <v>128</v>
      </c>
      <c r="H1069" t="s">
        <v>71</v>
      </c>
      <c r="I1069">
        <v>1</v>
      </c>
      <c r="J1069" t="s">
        <v>229</v>
      </c>
      <c r="K1069" s="1" t="s">
        <v>120</v>
      </c>
      <c r="L1069" s="1" t="s">
        <v>178</v>
      </c>
      <c r="M1069">
        <v>34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夏祭り赤葦京治ICONIC</v>
      </c>
    </row>
    <row r="1070" spans="1:20" x14ac:dyDescent="0.35">
      <c r="A1070">
        <f>VLOOKUP(Receive[[#This Row],[No用]],SetNo[[No.用]:[vlookup 用]],2,FALSE)</f>
        <v>185</v>
      </c>
      <c r="B1070" s="14">
        <f>IF(ROW()=2,1,IF(A1069&lt;&gt;Receive[[#This Row],[No]],1,B1069+1))</f>
        <v>5</v>
      </c>
      <c r="C1070" t="s">
        <v>150</v>
      </c>
      <c r="D1070" t="s">
        <v>129</v>
      </c>
      <c r="E1070" t="s">
        <v>90</v>
      </c>
      <c r="F1070" t="s">
        <v>74</v>
      </c>
      <c r="G1070" t="s">
        <v>128</v>
      </c>
      <c r="H1070" t="s">
        <v>71</v>
      </c>
      <c r="I1070">
        <v>1</v>
      </c>
      <c r="J1070" t="s">
        <v>229</v>
      </c>
      <c r="K1070" s="1" t="s">
        <v>164</v>
      </c>
      <c r="L1070" s="1" t="s">
        <v>162</v>
      </c>
      <c r="M1070">
        <v>31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夏祭り赤葦京治ICONIC</v>
      </c>
    </row>
    <row r="1071" spans="1:20" x14ac:dyDescent="0.35">
      <c r="A1071">
        <f>VLOOKUP(Receive[[#This Row],[No用]],SetNo[[No.用]:[vlookup 用]],2,FALSE)</f>
        <v>185</v>
      </c>
      <c r="B1071" s="14">
        <f>IF(ROW()=2,1,IF(A1070&lt;&gt;Receive[[#This Row],[No]],1,B1070+1))</f>
        <v>6</v>
      </c>
      <c r="C1071" t="s">
        <v>150</v>
      </c>
      <c r="D1071" t="s">
        <v>129</v>
      </c>
      <c r="E1071" t="s">
        <v>90</v>
      </c>
      <c r="F1071" t="s">
        <v>74</v>
      </c>
      <c r="G1071" t="s">
        <v>128</v>
      </c>
      <c r="H1071" t="s">
        <v>71</v>
      </c>
      <c r="I1071">
        <v>1</v>
      </c>
      <c r="J1071" t="s">
        <v>229</v>
      </c>
      <c r="K1071" s="1" t="s">
        <v>165</v>
      </c>
      <c r="L1071" s="1" t="s">
        <v>162</v>
      </c>
      <c r="M1071">
        <v>13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夏祭り赤葦京治ICONIC</v>
      </c>
    </row>
    <row r="1072" spans="1:20" x14ac:dyDescent="0.35">
      <c r="A1072">
        <f>VLOOKUP(Receive[[#This Row],[No用]],SetNo[[No.用]:[vlookup 用]],2,FALSE)</f>
        <v>186</v>
      </c>
      <c r="B1072" s="14">
        <f>IF(ROW()=2,1,IF(A1071&lt;&gt;Receive[[#This Row],[No]],1,B1071+1))</f>
        <v>1</v>
      </c>
      <c r="C1072" s="1" t="s">
        <v>149</v>
      </c>
      <c r="D1072" s="1" t="s">
        <v>129</v>
      </c>
      <c r="E1072" s="1" t="s">
        <v>77</v>
      </c>
      <c r="F1072" s="1" t="s">
        <v>74</v>
      </c>
      <c r="G1072" s="1" t="s">
        <v>128</v>
      </c>
      <c r="H1072" s="1" t="s">
        <v>71</v>
      </c>
      <c r="I1072">
        <v>1</v>
      </c>
      <c r="J1072" t="s">
        <v>229</v>
      </c>
      <c r="K1072" s="1" t="s">
        <v>119</v>
      </c>
      <c r="L1072" s="1" t="s">
        <v>178</v>
      </c>
      <c r="M1072">
        <v>34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制服赤葦京治ICONIC</v>
      </c>
    </row>
    <row r="1073" spans="1:20" x14ac:dyDescent="0.35">
      <c r="A1073">
        <f>VLOOKUP(Receive[[#This Row],[No用]],SetNo[[No.用]:[vlookup 用]],2,FALSE)</f>
        <v>186</v>
      </c>
      <c r="B1073" s="14">
        <f>IF(ROW()=2,1,IF(A1072&lt;&gt;Receive[[#This Row],[No]],1,B1072+1))</f>
        <v>2</v>
      </c>
      <c r="C1073" s="1" t="s">
        <v>149</v>
      </c>
      <c r="D1073" s="1" t="s">
        <v>129</v>
      </c>
      <c r="E1073" s="1" t="s">
        <v>77</v>
      </c>
      <c r="F1073" s="1" t="s">
        <v>74</v>
      </c>
      <c r="G1073" s="1" t="s">
        <v>128</v>
      </c>
      <c r="H1073" s="1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31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制服赤葦京治ICONIC</v>
      </c>
    </row>
    <row r="1074" spans="1:20" x14ac:dyDescent="0.35">
      <c r="A1074">
        <f>VLOOKUP(Receive[[#This Row],[No用]],SetNo[[No.用]:[vlookup 用]],2,FALSE)</f>
        <v>186</v>
      </c>
      <c r="B1074" s="14">
        <f>IF(ROW()=2,1,IF(A1073&lt;&gt;Receive[[#This Row],[No]],1,B1073+1))</f>
        <v>3</v>
      </c>
      <c r="C1074" s="1" t="s">
        <v>149</v>
      </c>
      <c r="D1074" s="1" t="s">
        <v>129</v>
      </c>
      <c r="E1074" s="1" t="s">
        <v>77</v>
      </c>
      <c r="F1074" s="1" t="s">
        <v>74</v>
      </c>
      <c r="G1074" s="1" t="s">
        <v>128</v>
      </c>
      <c r="H1074" s="1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31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制服赤葦京治ICONIC</v>
      </c>
    </row>
    <row r="1075" spans="1:20" x14ac:dyDescent="0.35">
      <c r="A1075">
        <f>VLOOKUP(Receive[[#This Row],[No用]],SetNo[[No.用]:[vlookup 用]],2,FALSE)</f>
        <v>186</v>
      </c>
      <c r="B1075" s="14">
        <f>IF(ROW()=2,1,IF(A1074&lt;&gt;Receive[[#This Row],[No]],1,B1074+1))</f>
        <v>4</v>
      </c>
      <c r="C1075" s="1" t="s">
        <v>149</v>
      </c>
      <c r="D1075" s="1" t="s">
        <v>129</v>
      </c>
      <c r="E1075" s="1" t="s">
        <v>77</v>
      </c>
      <c r="F1075" s="1" t="s">
        <v>74</v>
      </c>
      <c r="G1075" s="1" t="s">
        <v>128</v>
      </c>
      <c r="H1075" s="1" t="s">
        <v>71</v>
      </c>
      <c r="I1075">
        <v>1</v>
      </c>
      <c r="J1075" t="s">
        <v>229</v>
      </c>
      <c r="K1075" s="1" t="s">
        <v>120</v>
      </c>
      <c r="L1075" s="1" t="s">
        <v>178</v>
      </c>
      <c r="M1075">
        <v>34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制服赤葦京治ICONIC</v>
      </c>
    </row>
    <row r="1076" spans="1:20" x14ac:dyDescent="0.35">
      <c r="A1076">
        <f>VLOOKUP(Receive[[#This Row],[No用]],SetNo[[No.用]:[vlookup 用]],2,FALSE)</f>
        <v>186</v>
      </c>
      <c r="B1076" s="14">
        <f>IF(ROW()=2,1,IF(A1075&lt;&gt;Receive[[#This Row],[No]],1,B1075+1))</f>
        <v>5</v>
      </c>
      <c r="C1076" s="1" t="s">
        <v>149</v>
      </c>
      <c r="D1076" s="1" t="s">
        <v>129</v>
      </c>
      <c r="E1076" s="1" t="s">
        <v>77</v>
      </c>
      <c r="F1076" s="1" t="s">
        <v>74</v>
      </c>
      <c r="G1076" s="1" t="s">
        <v>128</v>
      </c>
      <c r="H1076" s="1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31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制服赤葦京治ICONIC</v>
      </c>
    </row>
    <row r="1077" spans="1:20" x14ac:dyDescent="0.35">
      <c r="A1077">
        <f>VLOOKUP(Receive[[#This Row],[No用]],SetNo[[No.用]:[vlookup 用]],2,FALSE)</f>
        <v>186</v>
      </c>
      <c r="B1077" s="14">
        <f>IF(ROW()=2,1,IF(A1076&lt;&gt;Receive[[#This Row],[No]],1,B1076+1))</f>
        <v>6</v>
      </c>
      <c r="C1077" s="1" t="s">
        <v>149</v>
      </c>
      <c r="D1077" s="1" t="s">
        <v>129</v>
      </c>
      <c r="E1077" s="1" t="s">
        <v>77</v>
      </c>
      <c r="F1077" s="1" t="s">
        <v>74</v>
      </c>
      <c r="G1077" s="1" t="s">
        <v>128</v>
      </c>
      <c r="H1077" s="1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13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制服赤葦京治ICONIC</v>
      </c>
    </row>
    <row r="1078" spans="1:20" x14ac:dyDescent="0.35">
      <c r="A1078">
        <f>VLOOKUP(Receive[[#This Row],[No用]],SetNo[[No.用]:[vlookup 用]],2,FALSE)</f>
        <v>187</v>
      </c>
      <c r="B1078" s="14">
        <f>IF(ROW()=2,1,IF(A1077&lt;&gt;Receive[[#This Row],[No]],1,B1077+1))</f>
        <v>1</v>
      </c>
      <c r="C1078" s="1" t="s">
        <v>1165</v>
      </c>
      <c r="D1078" s="1" t="s">
        <v>129</v>
      </c>
      <c r="E1078" s="1" t="s">
        <v>73</v>
      </c>
      <c r="F1078" s="1" t="s">
        <v>74</v>
      </c>
      <c r="G1078" s="1" t="s">
        <v>128</v>
      </c>
      <c r="H1078" s="1" t="s">
        <v>71</v>
      </c>
      <c r="I1078">
        <v>1</v>
      </c>
      <c r="J1078" t="s">
        <v>229</v>
      </c>
      <c r="K1078" s="1" t="s">
        <v>119</v>
      </c>
      <c r="L1078" s="1" t="s">
        <v>178</v>
      </c>
      <c r="M1078">
        <v>34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バーガー赤葦京治ICONIC</v>
      </c>
    </row>
    <row r="1079" spans="1:20" x14ac:dyDescent="0.35">
      <c r="A1079">
        <f>VLOOKUP(Receive[[#This Row],[No用]],SetNo[[No.用]:[vlookup 用]],2,FALSE)</f>
        <v>187</v>
      </c>
      <c r="B1079" s="14">
        <f>IF(ROW()=2,1,IF(A1078&lt;&gt;Receive[[#This Row],[No]],1,B1078+1))</f>
        <v>2</v>
      </c>
      <c r="C1079" s="1" t="s">
        <v>1165</v>
      </c>
      <c r="D1079" s="1" t="s">
        <v>129</v>
      </c>
      <c r="E1079" s="1" t="s">
        <v>73</v>
      </c>
      <c r="F1079" s="1" t="s">
        <v>74</v>
      </c>
      <c r="G1079" s="1" t="s">
        <v>128</v>
      </c>
      <c r="H1079" s="1" t="s">
        <v>71</v>
      </c>
      <c r="I1079">
        <v>1</v>
      </c>
      <c r="J1079" t="s">
        <v>229</v>
      </c>
      <c r="K1079" s="1" t="s">
        <v>163</v>
      </c>
      <c r="L1079" s="1" t="s">
        <v>162</v>
      </c>
      <c r="M1079">
        <v>31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バーガー赤葦京治ICONIC</v>
      </c>
    </row>
    <row r="1080" spans="1:20" x14ac:dyDescent="0.35">
      <c r="A1080">
        <f>VLOOKUP(Receive[[#This Row],[No用]],SetNo[[No.用]:[vlookup 用]],2,FALSE)</f>
        <v>187</v>
      </c>
      <c r="B1080" s="14">
        <f>IF(ROW()=2,1,IF(A1079&lt;&gt;Receive[[#This Row],[No]],1,B1079+1))</f>
        <v>3</v>
      </c>
      <c r="C1080" s="1" t="s">
        <v>1165</v>
      </c>
      <c r="D1080" s="1" t="s">
        <v>129</v>
      </c>
      <c r="E1080" s="1" t="s">
        <v>73</v>
      </c>
      <c r="F1080" s="1" t="s">
        <v>74</v>
      </c>
      <c r="G1080" s="1" t="s">
        <v>128</v>
      </c>
      <c r="H1080" s="1" t="s">
        <v>71</v>
      </c>
      <c r="I1080">
        <v>1</v>
      </c>
      <c r="J1080" t="s">
        <v>229</v>
      </c>
      <c r="K1080" s="1" t="s">
        <v>231</v>
      </c>
      <c r="L1080" s="1" t="s">
        <v>162</v>
      </c>
      <c r="M1080">
        <v>31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バーガー赤葦京治ICONIC</v>
      </c>
    </row>
    <row r="1081" spans="1:20" x14ac:dyDescent="0.35">
      <c r="A1081">
        <f>VLOOKUP(Receive[[#This Row],[No用]],SetNo[[No.用]:[vlookup 用]],2,FALSE)</f>
        <v>187</v>
      </c>
      <c r="B1081" s="14">
        <f>IF(ROW()=2,1,IF(A1080&lt;&gt;Receive[[#This Row],[No]],1,B1080+1))</f>
        <v>4</v>
      </c>
      <c r="C1081" s="1" t="s">
        <v>1165</v>
      </c>
      <c r="D1081" s="1" t="s">
        <v>129</v>
      </c>
      <c r="E1081" s="1" t="s">
        <v>73</v>
      </c>
      <c r="F1081" s="1" t="s">
        <v>74</v>
      </c>
      <c r="G1081" s="1" t="s">
        <v>128</v>
      </c>
      <c r="H1081" s="1" t="s">
        <v>71</v>
      </c>
      <c r="I1081">
        <v>1</v>
      </c>
      <c r="J1081" t="s">
        <v>229</v>
      </c>
      <c r="K1081" s="1" t="s">
        <v>120</v>
      </c>
      <c r="L1081" s="1" t="s">
        <v>178</v>
      </c>
      <c r="M1081">
        <v>34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バーガー赤葦京治ICONIC</v>
      </c>
    </row>
    <row r="1082" spans="1:20" x14ac:dyDescent="0.35">
      <c r="A1082">
        <f>VLOOKUP(Receive[[#This Row],[No用]],SetNo[[No.用]:[vlookup 用]],2,FALSE)</f>
        <v>187</v>
      </c>
      <c r="B1082" s="14">
        <f>IF(ROW()=2,1,IF(A1081&lt;&gt;Receive[[#This Row],[No]],1,B1081+1))</f>
        <v>5</v>
      </c>
      <c r="C1082" s="1" t="s">
        <v>1165</v>
      </c>
      <c r="D1082" s="1" t="s">
        <v>129</v>
      </c>
      <c r="E1082" s="1" t="s">
        <v>73</v>
      </c>
      <c r="F1082" s="1" t="s">
        <v>74</v>
      </c>
      <c r="G1082" s="1" t="s">
        <v>128</v>
      </c>
      <c r="H1082" s="1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31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バーガー赤葦京治ICONIC</v>
      </c>
    </row>
    <row r="1083" spans="1:20" x14ac:dyDescent="0.35">
      <c r="A1083">
        <f>VLOOKUP(Receive[[#This Row],[No用]],SetNo[[No.用]:[vlookup 用]],2,FALSE)</f>
        <v>187</v>
      </c>
      <c r="B1083" s="14">
        <f>IF(ROW()=2,1,IF(A1082&lt;&gt;Receive[[#This Row],[No]],1,B1082+1))</f>
        <v>6</v>
      </c>
      <c r="C1083" s="1" t="s">
        <v>1165</v>
      </c>
      <c r="D1083" s="1" t="s">
        <v>129</v>
      </c>
      <c r="E1083" s="1" t="s">
        <v>73</v>
      </c>
      <c r="F1083" s="1" t="s">
        <v>74</v>
      </c>
      <c r="G1083" s="1" t="s">
        <v>128</v>
      </c>
      <c r="H1083" s="1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バーガー赤葦京治ICONIC</v>
      </c>
    </row>
    <row r="1084" spans="1:20" x14ac:dyDescent="0.35">
      <c r="A1084">
        <f>VLOOKUP(Receive[[#This Row],[No用]],SetNo[[No.用]:[vlookup 用]],2,FALSE)</f>
        <v>188</v>
      </c>
      <c r="B1084" s="14">
        <f>IF(ROW()=2,1,IF(A1083&lt;&gt;Receive[[#This Row],[No]],1,B1083+1))</f>
        <v>1</v>
      </c>
      <c r="C1084" s="1" t="s">
        <v>108</v>
      </c>
      <c r="D1084" s="1" t="s">
        <v>1116</v>
      </c>
      <c r="E1084" s="1" t="s">
        <v>90</v>
      </c>
      <c r="F1084" s="1" t="s">
        <v>78</v>
      </c>
      <c r="G1084" s="1" t="s">
        <v>1102</v>
      </c>
      <c r="H1084" s="1" t="s">
        <v>690</v>
      </c>
      <c r="I1084">
        <v>1</v>
      </c>
      <c r="J1084" t="s">
        <v>229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ユニフォーム姫川葵ICONIC</v>
      </c>
    </row>
    <row r="1085" spans="1:20" x14ac:dyDescent="0.35">
      <c r="A1085">
        <f>VLOOKUP(Receive[[#This Row],[No用]],SetNo[[No.用]:[vlookup 用]],2,FALSE)</f>
        <v>188</v>
      </c>
      <c r="B1085" s="14">
        <f>IF(ROW()=2,1,IF(A1084&lt;&gt;Receive[[#This Row],[No]],1,B1084+1))</f>
        <v>2</v>
      </c>
      <c r="C1085" s="1" t="s">
        <v>108</v>
      </c>
      <c r="D1085" s="1" t="s">
        <v>1116</v>
      </c>
      <c r="E1085" s="1" t="s">
        <v>90</v>
      </c>
      <c r="F1085" s="1" t="s">
        <v>78</v>
      </c>
      <c r="G1085" s="1" t="s">
        <v>1102</v>
      </c>
      <c r="H1085" s="1" t="s">
        <v>690</v>
      </c>
      <c r="I1085">
        <v>1</v>
      </c>
      <c r="J1085" t="s">
        <v>229</v>
      </c>
      <c r="K1085" s="1" t="s">
        <v>195</v>
      </c>
      <c r="L1085" s="1" t="s">
        <v>173</v>
      </c>
      <c r="M1085">
        <v>32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ユニフォーム姫川葵ICONIC</v>
      </c>
    </row>
    <row r="1086" spans="1:20" x14ac:dyDescent="0.35">
      <c r="A1086">
        <f>VLOOKUP(Receive[[#This Row],[No用]],SetNo[[No.用]:[vlookup 用]],2,FALSE)</f>
        <v>188</v>
      </c>
      <c r="B1086" s="14">
        <f>IF(ROW()=2,1,IF(A1085&lt;&gt;Receive[[#This Row],[No]],1,B1085+1))</f>
        <v>3</v>
      </c>
      <c r="C1086" s="1" t="s">
        <v>108</v>
      </c>
      <c r="D1086" s="1" t="s">
        <v>1116</v>
      </c>
      <c r="E1086" s="1" t="s">
        <v>90</v>
      </c>
      <c r="F1086" s="1" t="s">
        <v>78</v>
      </c>
      <c r="G1086" s="1" t="s">
        <v>1102</v>
      </c>
      <c r="H1086" s="1" t="s">
        <v>690</v>
      </c>
      <c r="I1086">
        <v>1</v>
      </c>
      <c r="J1086" t="s">
        <v>229</v>
      </c>
      <c r="K1086" s="1" t="s">
        <v>163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ユニフォーム姫川葵ICONIC</v>
      </c>
    </row>
    <row r="1087" spans="1:20" x14ac:dyDescent="0.35">
      <c r="A1087">
        <f>VLOOKUP(Receive[[#This Row],[No用]],SetNo[[No.用]:[vlookup 用]],2,FALSE)</f>
        <v>188</v>
      </c>
      <c r="B1087" s="14">
        <f>IF(ROW()=2,1,IF(A1086&lt;&gt;Receive[[#This Row],[No]],1,B1086+1))</f>
        <v>4</v>
      </c>
      <c r="C1087" s="1" t="s">
        <v>108</v>
      </c>
      <c r="D1087" s="1" t="s">
        <v>1116</v>
      </c>
      <c r="E1087" s="1" t="s">
        <v>90</v>
      </c>
      <c r="F1087" s="1" t="s">
        <v>78</v>
      </c>
      <c r="G1087" s="1" t="s">
        <v>1102</v>
      </c>
      <c r="H1087" s="1" t="s">
        <v>690</v>
      </c>
      <c r="I1087">
        <v>1</v>
      </c>
      <c r="J1087" t="s">
        <v>229</v>
      </c>
      <c r="K1087" s="1" t="s">
        <v>120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ユニフォーム姫川葵ICONIC</v>
      </c>
    </row>
    <row r="1088" spans="1:20" x14ac:dyDescent="0.35">
      <c r="A1088">
        <f>VLOOKUP(Receive[[#This Row],[No用]],SetNo[[No.用]:[vlookup 用]],2,FALSE)</f>
        <v>188</v>
      </c>
      <c r="B1088" s="14">
        <f>IF(ROW()=2,1,IF(A1087&lt;&gt;Receive[[#This Row],[No]],1,B1087+1))</f>
        <v>5</v>
      </c>
      <c r="C1088" s="1" t="s">
        <v>108</v>
      </c>
      <c r="D1088" s="1" t="s">
        <v>1116</v>
      </c>
      <c r="E1088" s="1" t="s">
        <v>90</v>
      </c>
      <c r="F1088" s="1" t="s">
        <v>78</v>
      </c>
      <c r="G1088" s="1" t="s">
        <v>1102</v>
      </c>
      <c r="H1088" s="1" t="s">
        <v>690</v>
      </c>
      <c r="I1088">
        <v>1</v>
      </c>
      <c r="J1088" t="s">
        <v>229</v>
      </c>
      <c r="K1088" s="1" t="s">
        <v>164</v>
      </c>
      <c r="L1088" s="1" t="s">
        <v>162</v>
      </c>
      <c r="M1088">
        <v>26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ユニフォーム姫川葵ICONIC</v>
      </c>
    </row>
    <row r="1089" spans="1:20" x14ac:dyDescent="0.35">
      <c r="A1089">
        <f>VLOOKUP(Receive[[#This Row],[No用]],SetNo[[No.用]:[vlookup 用]],2,FALSE)</f>
        <v>188</v>
      </c>
      <c r="B1089" s="14">
        <f>IF(ROW()=2,1,IF(A1088&lt;&gt;Receive[[#This Row],[No]],1,B1088+1))</f>
        <v>6</v>
      </c>
      <c r="C1089" s="1" t="s">
        <v>108</v>
      </c>
      <c r="D1089" s="1" t="s">
        <v>1116</v>
      </c>
      <c r="E1089" s="1" t="s">
        <v>90</v>
      </c>
      <c r="F1089" s="1" t="s">
        <v>78</v>
      </c>
      <c r="G1089" s="1" t="s">
        <v>1102</v>
      </c>
      <c r="H1089" s="1" t="s">
        <v>690</v>
      </c>
      <c r="I1089">
        <v>1</v>
      </c>
      <c r="J1089" t="s">
        <v>229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ユニフォーム姫川葵ICONIC</v>
      </c>
    </row>
    <row r="1090" spans="1:20" x14ac:dyDescent="0.35">
      <c r="A1090">
        <f>VLOOKUP(Receive[[#This Row],[No用]],SetNo[[No.用]:[vlookup 用]],2,FALSE)</f>
        <v>189</v>
      </c>
      <c r="B1090" s="14">
        <f>IF(ROW()=2,1,IF(A1089&lt;&gt;Receive[[#This Row],[No]],1,B1089+1))</f>
        <v>1</v>
      </c>
      <c r="C1090" s="1" t="s">
        <v>108</v>
      </c>
      <c r="D1090" s="1" t="s">
        <v>1130</v>
      </c>
      <c r="E1090" s="1" t="s">
        <v>90</v>
      </c>
      <c r="F1090" s="1" t="s">
        <v>82</v>
      </c>
      <c r="G1090" s="1" t="s">
        <v>1102</v>
      </c>
      <c r="H1090" s="1" t="s">
        <v>71</v>
      </c>
      <c r="I1090">
        <v>1</v>
      </c>
      <c r="J1090" t="s">
        <v>229</v>
      </c>
      <c r="K1090" s="1" t="s">
        <v>119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ユニフォーム当間義友ICONIC</v>
      </c>
    </row>
    <row r="1091" spans="1:20" x14ac:dyDescent="0.35">
      <c r="A1091">
        <f>VLOOKUP(Receive[[#This Row],[No用]],SetNo[[No.用]:[vlookup 用]],2,FALSE)</f>
        <v>189</v>
      </c>
      <c r="B1091" s="14">
        <f>IF(ROW()=2,1,IF(A1090&lt;&gt;Receive[[#This Row],[No]],1,B1090+1))</f>
        <v>2</v>
      </c>
      <c r="C1091" s="1" t="s">
        <v>108</v>
      </c>
      <c r="D1091" s="1" t="s">
        <v>1130</v>
      </c>
      <c r="E1091" s="1" t="s">
        <v>90</v>
      </c>
      <c r="F1091" s="1" t="s">
        <v>82</v>
      </c>
      <c r="G1091" s="1" t="s">
        <v>1102</v>
      </c>
      <c r="H1091" s="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ユニフォーム当間義友ICONIC</v>
      </c>
    </row>
    <row r="1092" spans="1:20" x14ac:dyDescent="0.35">
      <c r="A1092">
        <f>VLOOKUP(Receive[[#This Row],[No用]],SetNo[[No.用]:[vlookup 用]],2,FALSE)</f>
        <v>189</v>
      </c>
      <c r="B1092" s="14">
        <f>IF(ROW()=2,1,IF(A1091&lt;&gt;Receive[[#This Row],[No]],1,B1091+1))</f>
        <v>3</v>
      </c>
      <c r="C1092" s="1" t="s">
        <v>108</v>
      </c>
      <c r="D1092" s="1" t="s">
        <v>1130</v>
      </c>
      <c r="E1092" s="1" t="s">
        <v>90</v>
      </c>
      <c r="F1092" s="1" t="s">
        <v>82</v>
      </c>
      <c r="G1092" s="1" t="s">
        <v>1102</v>
      </c>
      <c r="H1092" s="1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ユニフォーム当間義友ICONIC</v>
      </c>
    </row>
    <row r="1093" spans="1:20" x14ac:dyDescent="0.35">
      <c r="A1093">
        <f>VLOOKUP(Receive[[#This Row],[No用]],SetNo[[No.用]:[vlookup 用]],2,FALSE)</f>
        <v>189</v>
      </c>
      <c r="B1093" s="14">
        <f>IF(ROW()=2,1,IF(A1092&lt;&gt;Receive[[#This Row],[No]],1,B1092+1))</f>
        <v>4</v>
      </c>
      <c r="C1093" s="1" t="s">
        <v>108</v>
      </c>
      <c r="D1093" s="1" t="s">
        <v>1130</v>
      </c>
      <c r="E1093" s="1" t="s">
        <v>90</v>
      </c>
      <c r="F1093" s="1" t="s">
        <v>82</v>
      </c>
      <c r="G1093" s="1" t="s">
        <v>1102</v>
      </c>
      <c r="H1093" s="1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ユニフォーム当間義友ICONIC</v>
      </c>
    </row>
    <row r="1094" spans="1:20" x14ac:dyDescent="0.35">
      <c r="A1094">
        <f>VLOOKUP(Receive[[#This Row],[No用]],SetNo[[No.用]:[vlookup 用]],2,FALSE)</f>
        <v>189</v>
      </c>
      <c r="B1094" s="14">
        <f>IF(ROW()=2,1,IF(A1093&lt;&gt;Receive[[#This Row],[No]],1,B1093+1))</f>
        <v>5</v>
      </c>
      <c r="C1094" s="1" t="s">
        <v>108</v>
      </c>
      <c r="D1094" s="1" t="s">
        <v>1130</v>
      </c>
      <c r="E1094" s="1" t="s">
        <v>90</v>
      </c>
      <c r="F1094" s="1" t="s">
        <v>82</v>
      </c>
      <c r="G1094" s="1" t="s">
        <v>1102</v>
      </c>
      <c r="H1094" s="1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ユニフォーム当間義友ICONIC</v>
      </c>
    </row>
    <row r="1095" spans="1:20" x14ac:dyDescent="0.35">
      <c r="A1095">
        <f>VLOOKUP(Receive[[#This Row],[No用]],SetNo[[No.用]:[vlookup 用]],2,FALSE)</f>
        <v>190</v>
      </c>
      <c r="B1095" s="14">
        <f>IF(ROW()=2,1,IF(A1094&lt;&gt;Receive[[#This Row],[No]],1,B1094+1))</f>
        <v>1</v>
      </c>
      <c r="C1095" s="1" t="s">
        <v>108</v>
      </c>
      <c r="D1095" s="1" t="s">
        <v>1100</v>
      </c>
      <c r="E1095" s="1" t="s">
        <v>90</v>
      </c>
      <c r="F1095" s="1" t="s">
        <v>74</v>
      </c>
      <c r="G1095" s="1" t="s">
        <v>1102</v>
      </c>
      <c r="H1095" s="1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ユニフォーム越後栄ICONIC</v>
      </c>
    </row>
    <row r="1096" spans="1:20" x14ac:dyDescent="0.35">
      <c r="A1096">
        <f>VLOOKUP(Receive[[#This Row],[No用]],SetNo[[No.用]:[vlookup 用]],2,FALSE)</f>
        <v>190</v>
      </c>
      <c r="B1096" s="14">
        <f>IF(ROW()=2,1,IF(A1095&lt;&gt;Receive[[#This Row],[No]],1,B1095+1))</f>
        <v>2</v>
      </c>
      <c r="C1096" s="1" t="s">
        <v>108</v>
      </c>
      <c r="D1096" s="1" t="s">
        <v>1100</v>
      </c>
      <c r="E1096" s="1" t="s">
        <v>90</v>
      </c>
      <c r="F1096" s="1" t="s">
        <v>74</v>
      </c>
      <c r="G1096" s="1" t="s">
        <v>1102</v>
      </c>
      <c r="H1096" s="1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ユニフォーム越後栄ICONIC</v>
      </c>
    </row>
    <row r="1097" spans="1:20" x14ac:dyDescent="0.35">
      <c r="A1097">
        <f>VLOOKUP(Receive[[#This Row],[No用]],SetNo[[No.用]:[vlookup 用]],2,FALSE)</f>
        <v>190</v>
      </c>
      <c r="B1097" s="14">
        <f>IF(ROW()=2,1,IF(A1096&lt;&gt;Receive[[#This Row],[No]],1,B1096+1))</f>
        <v>3</v>
      </c>
      <c r="C1097" s="1" t="s">
        <v>108</v>
      </c>
      <c r="D1097" s="1" t="s">
        <v>1100</v>
      </c>
      <c r="E1097" s="1" t="s">
        <v>90</v>
      </c>
      <c r="F1097" s="1" t="s">
        <v>74</v>
      </c>
      <c r="G1097" s="1" t="s">
        <v>1102</v>
      </c>
      <c r="H1097" s="1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ユニフォーム越後栄ICONIC</v>
      </c>
    </row>
    <row r="1098" spans="1:20" x14ac:dyDescent="0.35">
      <c r="A1098">
        <f>VLOOKUP(Receive[[#This Row],[No用]],SetNo[[No.用]:[vlookup 用]],2,FALSE)</f>
        <v>190</v>
      </c>
      <c r="B1098" s="14">
        <f>IF(ROW()=2,1,IF(A1097&lt;&gt;Receive[[#This Row],[No]],1,B1097+1))</f>
        <v>4</v>
      </c>
      <c r="C1098" s="1" t="s">
        <v>108</v>
      </c>
      <c r="D1098" s="1" t="s">
        <v>1100</v>
      </c>
      <c r="E1098" s="1" t="s">
        <v>90</v>
      </c>
      <c r="F1098" s="1" t="s">
        <v>74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ユニフォーム越後栄ICONIC</v>
      </c>
    </row>
    <row r="1099" spans="1:20" x14ac:dyDescent="0.35">
      <c r="A1099">
        <f>VLOOKUP(Receive[[#This Row],[No用]],SetNo[[No.用]:[vlookup 用]],2,FALSE)</f>
        <v>190</v>
      </c>
      <c r="B1099" s="14">
        <f>IF(ROW()=2,1,IF(A1098&lt;&gt;Receive[[#This Row],[No]],1,B1098+1))</f>
        <v>5</v>
      </c>
      <c r="C1099" s="1" t="s">
        <v>108</v>
      </c>
      <c r="D1099" s="1" t="s">
        <v>1100</v>
      </c>
      <c r="E1099" s="1" t="s">
        <v>90</v>
      </c>
      <c r="F1099" s="1" t="s">
        <v>74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ユニフォーム越後栄ICONIC</v>
      </c>
    </row>
    <row r="1100" spans="1:20" x14ac:dyDescent="0.35">
      <c r="A1100">
        <f>VLOOKUP(Receive[[#This Row],[No用]],SetNo[[No.用]:[vlookup 用]],2,FALSE)</f>
        <v>191</v>
      </c>
      <c r="B1100" s="14">
        <f>IF(ROW()=2,1,IF(A1099&lt;&gt;Receive[[#This Row],[No]],1,B1099+1))</f>
        <v>1</v>
      </c>
      <c r="C1100" s="1" t="s">
        <v>108</v>
      </c>
      <c r="D1100" s="1" t="s">
        <v>1136</v>
      </c>
      <c r="E1100" s="1" t="s">
        <v>90</v>
      </c>
      <c r="F1100" s="1" t="s">
        <v>80</v>
      </c>
      <c r="G1100" s="1" t="s">
        <v>1102</v>
      </c>
      <c r="H1100" s="1" t="s">
        <v>71</v>
      </c>
      <c r="I1100">
        <v>1</v>
      </c>
      <c r="J1100" t="s">
        <v>229</v>
      </c>
      <c r="K1100" s="1" t="s">
        <v>119</v>
      </c>
      <c r="L1100" s="1" t="s">
        <v>173</v>
      </c>
      <c r="M1100">
        <v>36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ユニフォーム貝掛亮文ICONIC</v>
      </c>
    </row>
    <row r="1101" spans="1:20" x14ac:dyDescent="0.35">
      <c r="A1101">
        <f>VLOOKUP(Receive[[#This Row],[No用]],SetNo[[No.用]:[vlookup 用]],2,FALSE)</f>
        <v>191</v>
      </c>
      <c r="B1101" s="14">
        <f>IF(ROW()=2,1,IF(A1100&lt;&gt;Receive[[#This Row],[No]],1,B1100+1))</f>
        <v>2</v>
      </c>
      <c r="C1101" s="1" t="s">
        <v>108</v>
      </c>
      <c r="D1101" s="1" t="s">
        <v>1136</v>
      </c>
      <c r="E1101" s="1" t="s">
        <v>90</v>
      </c>
      <c r="F1101" s="1" t="s">
        <v>80</v>
      </c>
      <c r="G1101" s="1" t="s">
        <v>1102</v>
      </c>
      <c r="H1101" s="1" t="s">
        <v>71</v>
      </c>
      <c r="I1101">
        <v>1</v>
      </c>
      <c r="J1101" t="s">
        <v>229</v>
      </c>
      <c r="K1101" s="1" t="s">
        <v>195</v>
      </c>
      <c r="L1101" s="1" t="s">
        <v>178</v>
      </c>
      <c r="M1101">
        <v>38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ユニフォーム貝掛亮文ICONIC</v>
      </c>
    </row>
    <row r="1102" spans="1:20" x14ac:dyDescent="0.35">
      <c r="A1102">
        <f>VLOOKUP(Receive[[#This Row],[No用]],SetNo[[No.用]:[vlookup 用]],2,FALSE)</f>
        <v>191</v>
      </c>
      <c r="B1102" s="14">
        <f>IF(ROW()=2,1,IF(A1101&lt;&gt;Receive[[#This Row],[No]],1,B1101+1))</f>
        <v>3</v>
      </c>
      <c r="C1102" s="1" t="s">
        <v>108</v>
      </c>
      <c r="D1102" s="1" t="s">
        <v>1136</v>
      </c>
      <c r="E1102" s="1" t="s">
        <v>90</v>
      </c>
      <c r="F1102" s="1" t="s">
        <v>80</v>
      </c>
      <c r="G1102" s="1" t="s">
        <v>1102</v>
      </c>
      <c r="H1102" s="1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33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ユニフォーム貝掛亮文ICONIC</v>
      </c>
    </row>
    <row r="1103" spans="1:20" x14ac:dyDescent="0.35">
      <c r="A1103">
        <f>VLOOKUP(Receive[[#This Row],[No用]],SetNo[[No.用]:[vlookup 用]],2,FALSE)</f>
        <v>191</v>
      </c>
      <c r="B1103" s="14">
        <f>IF(ROW()=2,1,IF(A1102&lt;&gt;Receive[[#This Row],[No]],1,B1102+1))</f>
        <v>4</v>
      </c>
      <c r="C1103" s="1" t="s">
        <v>108</v>
      </c>
      <c r="D1103" s="1" t="s">
        <v>1136</v>
      </c>
      <c r="E1103" s="1" t="s">
        <v>90</v>
      </c>
      <c r="F1103" s="1" t="s">
        <v>80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231</v>
      </c>
      <c r="L1103" s="1" t="s">
        <v>162</v>
      </c>
      <c r="M1103">
        <v>33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ユニフォーム貝掛亮文ICONIC</v>
      </c>
    </row>
    <row r="1104" spans="1:20" x14ac:dyDescent="0.35">
      <c r="A1104">
        <f>VLOOKUP(Receive[[#This Row],[No用]],SetNo[[No.用]:[vlookup 用]],2,FALSE)</f>
        <v>191</v>
      </c>
      <c r="B1104" s="14">
        <f>IF(ROW()=2,1,IF(A1103&lt;&gt;Receive[[#This Row],[No]],1,B1103+1))</f>
        <v>5</v>
      </c>
      <c r="C1104" s="1" t="s">
        <v>108</v>
      </c>
      <c r="D1104" s="1" t="s">
        <v>1136</v>
      </c>
      <c r="E1104" s="1" t="s">
        <v>90</v>
      </c>
      <c r="F1104" s="1" t="s">
        <v>80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120</v>
      </c>
      <c r="L1104" s="1" t="s">
        <v>173</v>
      </c>
      <c r="M1104">
        <v>36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ユニフォーム貝掛亮文ICONIC</v>
      </c>
    </row>
    <row r="1105" spans="1:20" x14ac:dyDescent="0.35">
      <c r="A1105">
        <f>VLOOKUP(Receive[[#This Row],[No用]],SetNo[[No.用]:[vlookup 用]],2,FALSE)</f>
        <v>191</v>
      </c>
      <c r="B1105" s="14">
        <f>IF(ROW()=2,1,IF(A1104&lt;&gt;Receive[[#This Row],[No]],1,B1104+1))</f>
        <v>6</v>
      </c>
      <c r="C1105" s="1" t="s">
        <v>108</v>
      </c>
      <c r="D1105" s="1" t="s">
        <v>1136</v>
      </c>
      <c r="E1105" s="1" t="s">
        <v>90</v>
      </c>
      <c r="F1105" s="1" t="s">
        <v>80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164</v>
      </c>
      <c r="L1105" s="1" t="s">
        <v>162</v>
      </c>
      <c r="M1105">
        <v>33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ユニフォーム貝掛亮文ICONIC</v>
      </c>
    </row>
    <row r="1106" spans="1:20" x14ac:dyDescent="0.35">
      <c r="A1106">
        <f>VLOOKUP(Receive[[#This Row],[No用]],SetNo[[No.用]:[vlookup 用]],2,FALSE)</f>
        <v>191</v>
      </c>
      <c r="B1106" s="14">
        <f>IF(ROW()=2,1,IF(A1105&lt;&gt;Receive[[#This Row],[No]],1,B1105+1))</f>
        <v>7</v>
      </c>
      <c r="C1106" s="1" t="s">
        <v>108</v>
      </c>
      <c r="D1106" s="1" t="s">
        <v>1136</v>
      </c>
      <c r="E1106" s="1" t="s">
        <v>90</v>
      </c>
      <c r="F1106" s="1" t="s">
        <v>80</v>
      </c>
      <c r="G1106" s="1" t="s">
        <v>1102</v>
      </c>
      <c r="H1106" s="1" t="s">
        <v>71</v>
      </c>
      <c r="I1106">
        <v>1</v>
      </c>
      <c r="J1106" t="s">
        <v>229</v>
      </c>
      <c r="K1106" s="1" t="s">
        <v>165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ユニフォーム貝掛亮文ICONIC</v>
      </c>
    </row>
    <row r="1107" spans="1:20" x14ac:dyDescent="0.35">
      <c r="A1107">
        <f>VLOOKUP(Receive[[#This Row],[No用]],SetNo[[No.用]:[vlookup 用]],2,FALSE)</f>
        <v>191</v>
      </c>
      <c r="B1107" s="14">
        <f>IF(ROW()=2,1,IF(A1106&lt;&gt;Receive[[#This Row],[No]],1,B1106+1))</f>
        <v>8</v>
      </c>
      <c r="C1107" s="1" t="s">
        <v>108</v>
      </c>
      <c r="D1107" s="1" t="s">
        <v>1136</v>
      </c>
      <c r="E1107" s="1" t="s">
        <v>90</v>
      </c>
      <c r="F1107" s="1" t="s">
        <v>80</v>
      </c>
      <c r="G1107" s="1" t="s">
        <v>1102</v>
      </c>
      <c r="H1107" s="1" t="s">
        <v>71</v>
      </c>
      <c r="I1107">
        <v>1</v>
      </c>
      <c r="J1107" t="s">
        <v>229</v>
      </c>
      <c r="K1107" s="1" t="s">
        <v>183</v>
      </c>
      <c r="L1107" s="1" t="s">
        <v>225</v>
      </c>
      <c r="M1107">
        <v>46</v>
      </c>
      <c r="N1107">
        <v>0</v>
      </c>
      <c r="O1107">
        <v>56</v>
      </c>
      <c r="P1107">
        <v>0</v>
      </c>
      <c r="T1107" t="str">
        <f>Receive[[#This Row],[服装]]&amp;Receive[[#This Row],[名前]]&amp;Receive[[#This Row],[レアリティ]]</f>
        <v>ユニフォーム貝掛亮文ICONIC</v>
      </c>
    </row>
    <row r="1108" spans="1:20" x14ac:dyDescent="0.35">
      <c r="A1108">
        <f>VLOOKUP(Receive[[#This Row],[No用]],SetNo[[No.用]:[vlookup 用]],2,FALSE)</f>
        <v>192</v>
      </c>
      <c r="B1108" s="14">
        <f>IF(ROW()=2,1,IF(A1107&lt;&gt;Receive[[#This Row],[No]],1,B1107+1))</f>
        <v>1</v>
      </c>
      <c r="C1108" s="1" t="s">
        <v>108</v>
      </c>
      <c r="D1108" s="1" t="s">
        <v>1147</v>
      </c>
      <c r="E1108" s="1" t="s">
        <v>73</v>
      </c>
      <c r="F1108" s="1" t="s">
        <v>78</v>
      </c>
      <c r="G1108" s="1" t="s">
        <v>1102</v>
      </c>
      <c r="H1108" s="1" t="s">
        <v>71</v>
      </c>
      <c r="I1108">
        <v>1</v>
      </c>
      <c r="J1108" t="s">
        <v>229</v>
      </c>
      <c r="K1108" s="1" t="s">
        <v>119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ユニフォーム丸山一喜ICONIC</v>
      </c>
    </row>
    <row r="1109" spans="1:20" x14ac:dyDescent="0.35">
      <c r="A1109">
        <f>VLOOKUP(Receive[[#This Row],[No用]],SetNo[[No.用]:[vlookup 用]],2,FALSE)</f>
        <v>192</v>
      </c>
      <c r="B1109" s="14">
        <f>IF(ROW()=2,1,IF(A1108&lt;&gt;Receive[[#This Row],[No]],1,B1108+1))</f>
        <v>2</v>
      </c>
      <c r="C1109" s="1" t="s">
        <v>108</v>
      </c>
      <c r="D1109" s="1" t="s">
        <v>1147</v>
      </c>
      <c r="E1109" s="1" t="s">
        <v>73</v>
      </c>
      <c r="F1109" s="1" t="s">
        <v>78</v>
      </c>
      <c r="G1109" s="1" t="s">
        <v>1102</v>
      </c>
      <c r="H1109" s="1" t="s">
        <v>71</v>
      </c>
      <c r="I1109">
        <v>1</v>
      </c>
      <c r="J1109" t="s">
        <v>229</v>
      </c>
      <c r="K1109" s="1" t="s">
        <v>163</v>
      </c>
      <c r="L1109" s="1" t="s">
        <v>162</v>
      </c>
      <c r="M1109">
        <v>27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ユニフォーム丸山一喜ICONIC</v>
      </c>
    </row>
    <row r="1110" spans="1:20" x14ac:dyDescent="0.35">
      <c r="A1110">
        <f>VLOOKUP(Receive[[#This Row],[No用]],SetNo[[No.用]:[vlookup 用]],2,FALSE)</f>
        <v>192</v>
      </c>
      <c r="B1110" s="14">
        <f>IF(ROW()=2,1,IF(A1109&lt;&gt;Receive[[#This Row],[No]],1,B1109+1))</f>
        <v>3</v>
      </c>
      <c r="C1110" s="1" t="s">
        <v>108</v>
      </c>
      <c r="D1110" s="1" t="s">
        <v>1147</v>
      </c>
      <c r="E1110" s="1" t="s">
        <v>73</v>
      </c>
      <c r="F1110" s="1" t="s">
        <v>78</v>
      </c>
      <c r="G1110" s="1" t="s">
        <v>1102</v>
      </c>
      <c r="H1110" s="1" t="s">
        <v>71</v>
      </c>
      <c r="I1110">
        <v>1</v>
      </c>
      <c r="J1110" t="s">
        <v>229</v>
      </c>
      <c r="K1110" s="1" t="s">
        <v>120</v>
      </c>
      <c r="L1110" s="1" t="s">
        <v>162</v>
      </c>
      <c r="M1110">
        <v>27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ユニフォーム丸山一喜ICONIC</v>
      </c>
    </row>
    <row r="1111" spans="1:20" x14ac:dyDescent="0.35">
      <c r="A1111">
        <f>VLOOKUP(Receive[[#This Row],[No用]],SetNo[[No.用]:[vlookup 用]],2,FALSE)</f>
        <v>192</v>
      </c>
      <c r="B1111" s="14">
        <f>IF(ROW()=2,1,IF(A1110&lt;&gt;Receive[[#This Row],[No]],1,B1110+1))</f>
        <v>4</v>
      </c>
      <c r="C1111" s="1" t="s">
        <v>108</v>
      </c>
      <c r="D1111" s="1" t="s">
        <v>1147</v>
      </c>
      <c r="E1111" s="1" t="s">
        <v>73</v>
      </c>
      <c r="F1111" s="1" t="s">
        <v>78</v>
      </c>
      <c r="G1111" s="1" t="s">
        <v>1102</v>
      </c>
      <c r="H1111" s="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27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ユニフォーム丸山一喜ICONIC</v>
      </c>
    </row>
    <row r="1112" spans="1:20" x14ac:dyDescent="0.35">
      <c r="A1112">
        <f>VLOOKUP(Receive[[#This Row],[No用]],SetNo[[No.用]:[vlookup 用]],2,FALSE)</f>
        <v>192</v>
      </c>
      <c r="B1112" s="14">
        <f>IF(ROW()=2,1,IF(A1111&lt;&gt;Receive[[#This Row],[No]],1,B1111+1))</f>
        <v>5</v>
      </c>
      <c r="C1112" s="1" t="s">
        <v>108</v>
      </c>
      <c r="D1112" s="1" t="s">
        <v>1147</v>
      </c>
      <c r="E1112" s="1" t="s">
        <v>73</v>
      </c>
      <c r="F1112" s="1" t="s">
        <v>78</v>
      </c>
      <c r="G1112" s="1" t="s">
        <v>1102</v>
      </c>
      <c r="H1112" s="1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ユニフォーム丸山一喜ICONIC</v>
      </c>
    </row>
    <row r="1113" spans="1:20" x14ac:dyDescent="0.35">
      <c r="A1113">
        <f>VLOOKUP(Receive[[#This Row],[No用]],SetNo[[No.用]:[vlookup 用]],2,FALSE)</f>
        <v>192</v>
      </c>
      <c r="B1113" s="14">
        <f>IF(ROW()=2,1,IF(A1112&lt;&gt;Receive[[#This Row],[No]],1,B1112+1))</f>
        <v>6</v>
      </c>
      <c r="C1113" s="1" t="s">
        <v>108</v>
      </c>
      <c r="D1113" s="1" t="s">
        <v>1147</v>
      </c>
      <c r="E1113" s="1" t="s">
        <v>73</v>
      </c>
      <c r="F1113" s="1" t="s">
        <v>78</v>
      </c>
      <c r="G1113" s="1" t="s">
        <v>1102</v>
      </c>
      <c r="H1113" s="1" t="s">
        <v>71</v>
      </c>
      <c r="I1113">
        <v>1</v>
      </c>
      <c r="J1113" t="s">
        <v>229</v>
      </c>
      <c r="K1113" s="1" t="s">
        <v>164</v>
      </c>
      <c r="L1113" s="1" t="s">
        <v>225</v>
      </c>
      <c r="M1113">
        <v>46</v>
      </c>
      <c r="N1113">
        <v>0</v>
      </c>
      <c r="O1113">
        <v>56</v>
      </c>
      <c r="P1113">
        <v>0</v>
      </c>
      <c r="T1113" t="str">
        <f>Receive[[#This Row],[服装]]&amp;Receive[[#This Row],[名前]]&amp;Receive[[#This Row],[レアリティ]]</f>
        <v>ユニフォーム丸山一喜ICONIC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1</v>
      </c>
      <c r="C1114" s="1" t="s">
        <v>108</v>
      </c>
      <c r="D1114" s="1" t="s">
        <v>1152</v>
      </c>
      <c r="E1114" s="1" t="s">
        <v>90</v>
      </c>
      <c r="F1114" s="1" t="s">
        <v>78</v>
      </c>
      <c r="G1114" s="1" t="s">
        <v>1102</v>
      </c>
      <c r="H1114" s="1" t="s">
        <v>71</v>
      </c>
      <c r="I1114">
        <v>1</v>
      </c>
      <c r="J1114" t="s">
        <v>229</v>
      </c>
      <c r="K1114" s="1" t="s">
        <v>119</v>
      </c>
      <c r="L1114" s="1" t="s">
        <v>178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ユニフォーム舞子侑志ICONIC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2</v>
      </c>
      <c r="C1115" s="1" t="s">
        <v>108</v>
      </c>
      <c r="D1115" s="1" t="s">
        <v>1152</v>
      </c>
      <c r="E1115" s="1" t="s">
        <v>90</v>
      </c>
      <c r="F1115" s="1" t="s">
        <v>78</v>
      </c>
      <c r="G1115" s="1" t="s">
        <v>1102</v>
      </c>
      <c r="H1115" s="1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24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ユニフォーム舞子侑志ICONIC</v>
      </c>
    </row>
    <row r="1116" spans="1:20" x14ac:dyDescent="0.35">
      <c r="A1116">
        <f>VLOOKUP(Receive[[#This Row],[No用]],SetNo[[No.用]:[vlookup 用]],2,FALSE)</f>
        <v>193</v>
      </c>
      <c r="B1116" s="14">
        <f>IF(ROW()=2,1,IF(A1115&lt;&gt;Receive[[#This Row],[No]],1,B1115+1))</f>
        <v>3</v>
      </c>
      <c r="C1116" s="1" t="s">
        <v>108</v>
      </c>
      <c r="D1116" s="1" t="s">
        <v>1152</v>
      </c>
      <c r="E1116" s="1" t="s">
        <v>90</v>
      </c>
      <c r="F1116" s="1" t="s">
        <v>78</v>
      </c>
      <c r="G1116" s="1" t="s">
        <v>1102</v>
      </c>
      <c r="H1116" s="1" t="s">
        <v>71</v>
      </c>
      <c r="I1116">
        <v>1</v>
      </c>
      <c r="J1116" t="s">
        <v>229</v>
      </c>
      <c r="K1116" s="1" t="s">
        <v>120</v>
      </c>
      <c r="L1116" s="1" t="s">
        <v>162</v>
      </c>
      <c r="M1116">
        <v>24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ユニフォーム舞子侑志ICONIC</v>
      </c>
    </row>
    <row r="1117" spans="1:20" x14ac:dyDescent="0.35">
      <c r="A1117">
        <f>VLOOKUP(Receive[[#This Row],[No用]],SetNo[[No.用]:[vlookup 用]],2,FALSE)</f>
        <v>193</v>
      </c>
      <c r="B1117" s="14">
        <f>IF(ROW()=2,1,IF(A1116&lt;&gt;Receive[[#This Row],[No]],1,B1116+1))</f>
        <v>4</v>
      </c>
      <c r="C1117" s="1" t="s">
        <v>108</v>
      </c>
      <c r="D1117" s="1" t="s">
        <v>1152</v>
      </c>
      <c r="E1117" s="1" t="s">
        <v>90</v>
      </c>
      <c r="F1117" s="1" t="s">
        <v>78</v>
      </c>
      <c r="G1117" s="1" t="s">
        <v>1102</v>
      </c>
      <c r="H1117" s="1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24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ユニフォーム舞子侑志ICONIC</v>
      </c>
    </row>
    <row r="1118" spans="1:20" x14ac:dyDescent="0.35">
      <c r="A1118">
        <f>VLOOKUP(Receive[[#This Row],[No用]],SetNo[[No.用]:[vlookup 用]],2,FALSE)</f>
        <v>193</v>
      </c>
      <c r="B1118" s="14">
        <f>IF(ROW()=2,1,IF(A1117&lt;&gt;Receive[[#This Row],[No]],1,B1117+1))</f>
        <v>5</v>
      </c>
      <c r="C1118" s="1" t="s">
        <v>108</v>
      </c>
      <c r="D1118" s="1" t="s">
        <v>1152</v>
      </c>
      <c r="E1118" s="1" t="s">
        <v>90</v>
      </c>
      <c r="F1118" s="1" t="s">
        <v>78</v>
      </c>
      <c r="G1118" s="1" t="s">
        <v>1102</v>
      </c>
      <c r="H1118" s="1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8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ユニフォーム舞子侑志ICONIC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1</v>
      </c>
      <c r="C1119" s="1" t="s">
        <v>108</v>
      </c>
      <c r="D1119" s="1" t="s">
        <v>1110</v>
      </c>
      <c r="E1119" s="1" t="s">
        <v>90</v>
      </c>
      <c r="F1119" s="1" t="s">
        <v>78</v>
      </c>
      <c r="G1119" s="1" t="s">
        <v>1102</v>
      </c>
      <c r="H1119" s="1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26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ユニフォーム寺泊基希ICONIC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2</v>
      </c>
      <c r="C1120" s="1" t="s">
        <v>108</v>
      </c>
      <c r="D1120" s="1" t="s">
        <v>1110</v>
      </c>
      <c r="E1120" s="1" t="s">
        <v>90</v>
      </c>
      <c r="F1120" s="1" t="s">
        <v>78</v>
      </c>
      <c r="G1120" s="1" t="s">
        <v>1102</v>
      </c>
      <c r="H1120" s="1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26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ユニフォーム寺泊基希ICONIC</v>
      </c>
    </row>
    <row r="1121" spans="1:20" x14ac:dyDescent="0.35">
      <c r="A1121">
        <f>VLOOKUP(Receive[[#This Row],[No用]],SetNo[[No.用]:[vlookup 用]],2,FALSE)</f>
        <v>194</v>
      </c>
      <c r="B1121" s="14">
        <f>IF(ROW()=2,1,IF(A1120&lt;&gt;Receive[[#This Row],[No]],1,B1120+1))</f>
        <v>3</v>
      </c>
      <c r="C1121" s="1" t="s">
        <v>108</v>
      </c>
      <c r="D1121" s="1" t="s">
        <v>1110</v>
      </c>
      <c r="E1121" s="1" t="s">
        <v>90</v>
      </c>
      <c r="F1121" s="1" t="s">
        <v>78</v>
      </c>
      <c r="G1121" s="1" t="s">
        <v>1102</v>
      </c>
      <c r="H1121" s="1" t="s">
        <v>71</v>
      </c>
      <c r="I1121">
        <v>1</v>
      </c>
      <c r="J1121" t="s">
        <v>229</v>
      </c>
      <c r="K1121" s="1" t="s">
        <v>120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ユニフォーム寺泊基希ICONIC</v>
      </c>
    </row>
    <row r="1122" spans="1:20" x14ac:dyDescent="0.35">
      <c r="A1122">
        <f>VLOOKUP(Receive[[#This Row],[No用]],SetNo[[No.用]:[vlookup 用]],2,FALSE)</f>
        <v>194</v>
      </c>
      <c r="B1122" s="14">
        <f>IF(ROW()=2,1,IF(A1121&lt;&gt;Receive[[#This Row],[No]],1,B1121+1))</f>
        <v>4</v>
      </c>
      <c r="C1122" s="1" t="s">
        <v>108</v>
      </c>
      <c r="D1122" s="1" t="s">
        <v>1110</v>
      </c>
      <c r="E1122" s="1" t="s">
        <v>90</v>
      </c>
      <c r="F1122" s="1" t="s">
        <v>78</v>
      </c>
      <c r="G1122" s="1" t="s">
        <v>1102</v>
      </c>
      <c r="H1122" s="1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ユニフォーム寺泊基希ICONIC</v>
      </c>
    </row>
    <row r="1123" spans="1:20" x14ac:dyDescent="0.35">
      <c r="A1123">
        <f>VLOOKUP(Receive[[#This Row],[No用]],SetNo[[No.用]:[vlookup 用]],2,FALSE)</f>
        <v>194</v>
      </c>
      <c r="B1123" s="14">
        <f>IF(ROW()=2,1,IF(A1122&lt;&gt;Receive[[#This Row],[No]],1,B1122+1))</f>
        <v>5</v>
      </c>
      <c r="C1123" s="1" t="s">
        <v>108</v>
      </c>
      <c r="D1123" s="1" t="s">
        <v>1110</v>
      </c>
      <c r="E1123" s="1" t="s">
        <v>90</v>
      </c>
      <c r="F1123" s="1" t="s">
        <v>78</v>
      </c>
      <c r="G1123" s="1" t="s">
        <v>1102</v>
      </c>
      <c r="H1123" s="1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ユニフォーム寺泊基希ICONIC</v>
      </c>
    </row>
    <row r="1124" spans="1:20" x14ac:dyDescent="0.35">
      <c r="A1124">
        <f>VLOOKUP(Receive[[#This Row],[No用]],SetNo[[No.用]:[vlookup 用]],2,FALSE)</f>
        <v>195</v>
      </c>
      <c r="B1124" s="14">
        <f>IF(ROW()=2,1,IF(A1123&lt;&gt;Receive[[#This Row],[No]],1,B1123+1))</f>
        <v>1</v>
      </c>
      <c r="C1124" t="s">
        <v>108</v>
      </c>
      <c r="D1124" t="s">
        <v>283</v>
      </c>
      <c r="E1124" t="s">
        <v>77</v>
      </c>
      <c r="F1124" t="s">
        <v>78</v>
      </c>
      <c r="G1124" t="s">
        <v>134</v>
      </c>
      <c r="H1124" t="s">
        <v>71</v>
      </c>
      <c r="I1124">
        <v>1</v>
      </c>
      <c r="J1124" t="s">
        <v>229</v>
      </c>
      <c r="K1124" s="1" t="s">
        <v>119</v>
      </c>
      <c r="L1124" s="1" t="s">
        <v>162</v>
      </c>
      <c r="M1124">
        <v>33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ユニフォーム星海光来ICONIC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2</v>
      </c>
      <c r="C1125" t="s">
        <v>108</v>
      </c>
      <c r="D1125" t="s">
        <v>283</v>
      </c>
      <c r="E1125" t="s">
        <v>77</v>
      </c>
      <c r="F1125" t="s">
        <v>78</v>
      </c>
      <c r="G1125" t="s">
        <v>134</v>
      </c>
      <c r="H1125" t="s">
        <v>71</v>
      </c>
      <c r="I1125">
        <v>1</v>
      </c>
      <c r="J1125" t="s">
        <v>229</v>
      </c>
      <c r="K1125" s="1" t="s">
        <v>163</v>
      </c>
      <c r="L1125" s="1" t="s">
        <v>162</v>
      </c>
      <c r="M1125">
        <v>33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ユニフォーム星海光来ICONIC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3</v>
      </c>
      <c r="C1126" t="s">
        <v>108</v>
      </c>
      <c r="D1126" t="s">
        <v>283</v>
      </c>
      <c r="E1126" t="s">
        <v>77</v>
      </c>
      <c r="F1126" t="s">
        <v>78</v>
      </c>
      <c r="G1126" t="s">
        <v>134</v>
      </c>
      <c r="H1126" t="s">
        <v>71</v>
      </c>
      <c r="I1126">
        <v>1</v>
      </c>
      <c r="J1126" t="s">
        <v>229</v>
      </c>
      <c r="K1126" s="1" t="s">
        <v>231</v>
      </c>
      <c r="L1126" s="1" t="s">
        <v>162</v>
      </c>
      <c r="M1126">
        <v>32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ユニフォーム星海光来ICONIC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4</v>
      </c>
      <c r="C1127" t="s">
        <v>108</v>
      </c>
      <c r="D1127" t="s">
        <v>283</v>
      </c>
      <c r="E1127" t="s">
        <v>77</v>
      </c>
      <c r="F1127" t="s">
        <v>78</v>
      </c>
      <c r="G1127" t="s">
        <v>134</v>
      </c>
      <c r="H1127" t="s">
        <v>71</v>
      </c>
      <c r="I1127">
        <v>1</v>
      </c>
      <c r="J1127" t="s">
        <v>229</v>
      </c>
      <c r="K1127" s="1" t="s">
        <v>120</v>
      </c>
      <c r="L1127" s="1" t="s">
        <v>178</v>
      </c>
      <c r="M1127">
        <v>35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ユニフォーム星海光来ICONIC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5</v>
      </c>
      <c r="C1128" t="s">
        <v>108</v>
      </c>
      <c r="D1128" t="s">
        <v>283</v>
      </c>
      <c r="E1128" t="s">
        <v>77</v>
      </c>
      <c r="F1128" t="s">
        <v>78</v>
      </c>
      <c r="G1128" t="s">
        <v>134</v>
      </c>
      <c r="H1128" t="s">
        <v>71</v>
      </c>
      <c r="I1128">
        <v>1</v>
      </c>
      <c r="J1128" t="s">
        <v>229</v>
      </c>
      <c r="K1128" s="1" t="s">
        <v>164</v>
      </c>
      <c r="L1128" s="1" t="s">
        <v>162</v>
      </c>
      <c r="M1128">
        <v>33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ユニフォーム星海光来ICONIC</v>
      </c>
    </row>
    <row r="1129" spans="1:20" x14ac:dyDescent="0.35">
      <c r="A1129">
        <f>VLOOKUP(Receive[[#This Row],[No用]],SetNo[[No.用]:[vlookup 用]],2,FALSE)</f>
        <v>195</v>
      </c>
      <c r="B1129" s="14">
        <f>IF(ROW()=2,1,IF(A1128&lt;&gt;Receive[[#This Row],[No]],1,B1128+1))</f>
        <v>6</v>
      </c>
      <c r="C1129" t="s">
        <v>108</v>
      </c>
      <c r="D1129" t="s">
        <v>283</v>
      </c>
      <c r="E1129" t="s">
        <v>77</v>
      </c>
      <c r="F1129" t="s">
        <v>78</v>
      </c>
      <c r="G1129" t="s">
        <v>134</v>
      </c>
      <c r="H1129" t="s">
        <v>71</v>
      </c>
      <c r="I1129">
        <v>1</v>
      </c>
      <c r="J1129" t="s">
        <v>229</v>
      </c>
      <c r="K1129" s="1" t="s">
        <v>165</v>
      </c>
      <c r="L1129" s="1" t="s">
        <v>162</v>
      </c>
      <c r="M1129">
        <v>13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ユニフォーム星海光来ICONIC</v>
      </c>
    </row>
    <row r="1130" spans="1:20" x14ac:dyDescent="0.35">
      <c r="A1130">
        <f>VLOOKUP(Receive[[#This Row],[No用]],SetNo[[No.用]:[vlookup 用]],2,FALSE)</f>
        <v>196</v>
      </c>
      <c r="B1130" s="14">
        <f>IF(ROW()=2,1,IF(A1129&lt;&gt;Receive[[#This Row],[No]],1,B1129+1))</f>
        <v>1</v>
      </c>
      <c r="C1130" s="1" t="s">
        <v>895</v>
      </c>
      <c r="D1130" t="s">
        <v>283</v>
      </c>
      <c r="E1130" s="1" t="s">
        <v>73</v>
      </c>
      <c r="F1130" t="s">
        <v>78</v>
      </c>
      <c r="G1130" t="s">
        <v>134</v>
      </c>
      <c r="H1130" t="s">
        <v>71</v>
      </c>
      <c r="I1130">
        <v>1</v>
      </c>
      <c r="J1130" t="s">
        <v>229</v>
      </c>
      <c r="K1130" s="1" t="s">
        <v>119</v>
      </c>
      <c r="L1130" s="1" t="s">
        <v>178</v>
      </c>
      <c r="M1130">
        <v>36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文化祭星海光来ICONIC</v>
      </c>
    </row>
    <row r="1131" spans="1:20" x14ac:dyDescent="0.35">
      <c r="A1131">
        <f>VLOOKUP(Receive[[#This Row],[No用]],SetNo[[No.用]:[vlookup 用]],2,FALSE)</f>
        <v>196</v>
      </c>
      <c r="B1131" s="14">
        <f>IF(ROW()=2,1,IF(A1130&lt;&gt;Receive[[#This Row],[No]],1,B1130+1))</f>
        <v>2</v>
      </c>
      <c r="C1131" s="1" t="s">
        <v>895</v>
      </c>
      <c r="D1131" t="s">
        <v>283</v>
      </c>
      <c r="E1131" s="1" t="s">
        <v>73</v>
      </c>
      <c r="F1131" t="s">
        <v>78</v>
      </c>
      <c r="G1131" t="s">
        <v>134</v>
      </c>
      <c r="H113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文化祭星海光来ICONIC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3</v>
      </c>
      <c r="C1132" s="1" t="s">
        <v>895</v>
      </c>
      <c r="D1132" t="s">
        <v>283</v>
      </c>
      <c r="E1132" s="1" t="s">
        <v>73</v>
      </c>
      <c r="F1132" t="s">
        <v>78</v>
      </c>
      <c r="G1132" t="s">
        <v>134</v>
      </c>
      <c r="H1132" t="s">
        <v>71</v>
      </c>
      <c r="I1132">
        <v>1</v>
      </c>
      <c r="J1132" t="s">
        <v>229</v>
      </c>
      <c r="K1132" s="1" t="s">
        <v>231</v>
      </c>
      <c r="L1132" s="1" t="s">
        <v>162</v>
      </c>
      <c r="M1132">
        <v>32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文化祭星海光来ICONIC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4</v>
      </c>
      <c r="C1133" s="1" t="s">
        <v>895</v>
      </c>
      <c r="D1133" t="s">
        <v>283</v>
      </c>
      <c r="E1133" s="1" t="s">
        <v>73</v>
      </c>
      <c r="F1133" t="s">
        <v>78</v>
      </c>
      <c r="G1133" t="s">
        <v>134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178</v>
      </c>
      <c r="M1133">
        <v>35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文化祭星海光来ICONIC</v>
      </c>
    </row>
    <row r="1134" spans="1:20" x14ac:dyDescent="0.35">
      <c r="A1134">
        <f>VLOOKUP(Receive[[#This Row],[No用]],SetNo[[No.用]:[vlookup 用]],2,FALSE)</f>
        <v>196</v>
      </c>
      <c r="B1134" s="14">
        <f>IF(ROW()=2,1,IF(A1133&lt;&gt;Receive[[#This Row],[No]],1,B1133+1))</f>
        <v>5</v>
      </c>
      <c r="C1134" s="1" t="s">
        <v>895</v>
      </c>
      <c r="D1134" t="s">
        <v>283</v>
      </c>
      <c r="E1134" s="1" t="s">
        <v>73</v>
      </c>
      <c r="F1134" t="s">
        <v>78</v>
      </c>
      <c r="G1134" t="s">
        <v>134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33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文化祭星海光来ICONIC</v>
      </c>
    </row>
    <row r="1135" spans="1:20" x14ac:dyDescent="0.35">
      <c r="A1135">
        <f>VLOOKUP(Receive[[#This Row],[No用]],SetNo[[No.用]:[vlookup 用]],2,FALSE)</f>
        <v>196</v>
      </c>
      <c r="B1135" s="14">
        <f>IF(ROW()=2,1,IF(A1134&lt;&gt;Receive[[#This Row],[No]],1,B1134+1))</f>
        <v>6</v>
      </c>
      <c r="C1135" s="1" t="s">
        <v>895</v>
      </c>
      <c r="D1135" t="s">
        <v>283</v>
      </c>
      <c r="E1135" s="1" t="s">
        <v>73</v>
      </c>
      <c r="F1135" t="s">
        <v>78</v>
      </c>
      <c r="G1135" t="s">
        <v>134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文化祭星海光来ICONIC</v>
      </c>
    </row>
    <row r="1136" spans="1:20" x14ac:dyDescent="0.35">
      <c r="A1136">
        <f>VLOOKUP(Receive[[#This Row],[No用]],SetNo[[No.用]:[vlookup 用]],2,FALSE)</f>
        <v>197</v>
      </c>
      <c r="B1136" s="14">
        <f>IF(ROW()=2,1,IF(A1135&lt;&gt;Receive[[#This Row],[No]],1,B1135+1))</f>
        <v>1</v>
      </c>
      <c r="C1136" s="1" t="s">
        <v>1049</v>
      </c>
      <c r="D1136" s="1" t="s">
        <v>283</v>
      </c>
      <c r="E1136" s="1" t="s">
        <v>90</v>
      </c>
      <c r="F1136" s="1" t="s">
        <v>78</v>
      </c>
      <c r="G1136" s="1" t="s">
        <v>134</v>
      </c>
      <c r="H1136" s="1" t="s">
        <v>71</v>
      </c>
      <c r="I1136">
        <v>1</v>
      </c>
      <c r="J1136" t="s">
        <v>229</v>
      </c>
      <c r="K1136" s="1" t="s">
        <v>119</v>
      </c>
      <c r="L1136" s="1" t="s">
        <v>173</v>
      </c>
      <c r="M1136">
        <v>39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サバゲ星海光来ICONIC</v>
      </c>
    </row>
    <row r="1137" spans="1:20" x14ac:dyDescent="0.35">
      <c r="A1137">
        <f>VLOOKUP(Receive[[#This Row],[No用]],SetNo[[No.用]:[vlookup 用]],2,FALSE)</f>
        <v>197</v>
      </c>
      <c r="B1137" s="14">
        <f>IF(ROW()=2,1,IF(A1136&lt;&gt;Receive[[#This Row],[No]],1,B1136+1))</f>
        <v>2</v>
      </c>
      <c r="C1137" s="1" t="s">
        <v>1049</v>
      </c>
      <c r="D1137" s="1" t="s">
        <v>283</v>
      </c>
      <c r="E1137" s="1" t="s">
        <v>90</v>
      </c>
      <c r="F1137" s="1" t="s">
        <v>78</v>
      </c>
      <c r="G1137" s="1" t="s">
        <v>134</v>
      </c>
      <c r="H1137" s="1" t="s">
        <v>71</v>
      </c>
      <c r="I1137">
        <v>1</v>
      </c>
      <c r="J1137" t="s">
        <v>229</v>
      </c>
      <c r="K1137" s="1" t="s">
        <v>163</v>
      </c>
      <c r="L1137" s="1" t="s">
        <v>162</v>
      </c>
      <c r="M1137">
        <v>33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サバゲ星海光来ICONIC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3</v>
      </c>
      <c r="C1138" s="1" t="s">
        <v>1049</v>
      </c>
      <c r="D1138" s="1" t="s">
        <v>283</v>
      </c>
      <c r="E1138" s="1" t="s">
        <v>90</v>
      </c>
      <c r="F1138" s="1" t="s">
        <v>78</v>
      </c>
      <c r="G1138" s="1" t="s">
        <v>134</v>
      </c>
      <c r="H1138" s="1" t="s">
        <v>71</v>
      </c>
      <c r="I1138">
        <v>1</v>
      </c>
      <c r="J1138" t="s">
        <v>229</v>
      </c>
      <c r="K1138" s="1" t="s">
        <v>231</v>
      </c>
      <c r="L1138" s="1" t="s">
        <v>162</v>
      </c>
      <c r="M1138">
        <v>32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サバゲ星海光来ICONIC</v>
      </c>
    </row>
    <row r="1139" spans="1:20" x14ac:dyDescent="0.35">
      <c r="A1139">
        <f>VLOOKUP(Receive[[#This Row],[No用]],SetNo[[No.用]:[vlookup 用]],2,FALSE)</f>
        <v>197</v>
      </c>
      <c r="B1139" s="14">
        <f>IF(ROW()=2,1,IF(A1138&lt;&gt;Receive[[#This Row],[No]],1,B1138+1))</f>
        <v>4</v>
      </c>
      <c r="C1139" s="1" t="s">
        <v>1049</v>
      </c>
      <c r="D1139" s="1" t="s">
        <v>283</v>
      </c>
      <c r="E1139" s="1" t="s">
        <v>90</v>
      </c>
      <c r="F1139" s="1" t="s">
        <v>78</v>
      </c>
      <c r="G1139" s="1" t="s">
        <v>134</v>
      </c>
      <c r="H1139" s="1" t="s">
        <v>71</v>
      </c>
      <c r="I1139">
        <v>1</v>
      </c>
      <c r="J1139" t="s">
        <v>229</v>
      </c>
      <c r="K1139" s="1" t="s">
        <v>120</v>
      </c>
      <c r="L1139" s="1" t="s">
        <v>178</v>
      </c>
      <c r="M1139">
        <v>36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サバゲ星海光来ICONIC</v>
      </c>
    </row>
    <row r="1140" spans="1:20" x14ac:dyDescent="0.35">
      <c r="A1140">
        <f>VLOOKUP(Receive[[#This Row],[No用]],SetNo[[No.用]:[vlookup 用]],2,FALSE)</f>
        <v>197</v>
      </c>
      <c r="B1140" s="14">
        <f>IF(ROW()=2,1,IF(A1139&lt;&gt;Receive[[#This Row],[No]],1,B1139+1))</f>
        <v>5</v>
      </c>
      <c r="C1140" s="1" t="s">
        <v>1049</v>
      </c>
      <c r="D1140" s="1" t="s">
        <v>283</v>
      </c>
      <c r="E1140" s="1" t="s">
        <v>90</v>
      </c>
      <c r="F1140" s="1" t="s">
        <v>78</v>
      </c>
      <c r="G1140" s="1" t="s">
        <v>134</v>
      </c>
      <c r="H1140" s="1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33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サバゲ星海光来ICONIC</v>
      </c>
    </row>
    <row r="1141" spans="1:20" x14ac:dyDescent="0.35">
      <c r="A1141">
        <f>VLOOKUP(Receive[[#This Row],[No用]],SetNo[[No.用]:[vlookup 用]],2,FALSE)</f>
        <v>197</v>
      </c>
      <c r="B1141" s="14">
        <f>IF(ROW()=2,1,IF(A1140&lt;&gt;Receive[[#This Row],[No]],1,B1140+1))</f>
        <v>6</v>
      </c>
      <c r="C1141" s="1" t="s">
        <v>1049</v>
      </c>
      <c r="D1141" s="1" t="s">
        <v>283</v>
      </c>
      <c r="E1141" s="1" t="s">
        <v>90</v>
      </c>
      <c r="F1141" s="1" t="s">
        <v>78</v>
      </c>
      <c r="G1141" s="1" t="s">
        <v>134</v>
      </c>
      <c r="H1141" s="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サバゲ星海光来ICONIC</v>
      </c>
    </row>
    <row r="1142" spans="1:20" x14ac:dyDescent="0.35">
      <c r="A1142">
        <f>VLOOKUP(Receive[[#This Row],[No用]],SetNo[[No.用]:[vlookup 用]],2,FALSE)</f>
        <v>197</v>
      </c>
      <c r="B1142" s="14">
        <f>IF(ROW()=2,1,IF(A1141&lt;&gt;Receive[[#This Row],[No]],1,B1141+1))</f>
        <v>7</v>
      </c>
      <c r="C1142" s="1" t="s">
        <v>1049</v>
      </c>
      <c r="D1142" s="1" t="s">
        <v>283</v>
      </c>
      <c r="E1142" s="1" t="s">
        <v>90</v>
      </c>
      <c r="F1142" s="1" t="s">
        <v>78</v>
      </c>
      <c r="G1142" s="1" t="s">
        <v>134</v>
      </c>
      <c r="H1142" s="1" t="s">
        <v>71</v>
      </c>
      <c r="I1142">
        <v>1</v>
      </c>
      <c r="J1142" t="s">
        <v>229</v>
      </c>
      <c r="K1142" s="1" t="s">
        <v>183</v>
      </c>
      <c r="L1142" s="1" t="s">
        <v>225</v>
      </c>
      <c r="M1142">
        <v>51</v>
      </c>
      <c r="N1142">
        <v>0</v>
      </c>
      <c r="O1142">
        <v>61</v>
      </c>
      <c r="P1142">
        <v>0</v>
      </c>
      <c r="T1142" t="str">
        <f>Receive[[#This Row],[服装]]&amp;Receive[[#This Row],[名前]]&amp;Receive[[#This Row],[レアリティ]]</f>
        <v>サバゲ星海光来ICONIC</v>
      </c>
    </row>
    <row r="1143" spans="1:20" x14ac:dyDescent="0.35">
      <c r="A1143">
        <f>VLOOKUP(Receive[[#This Row],[No用]],SetNo[[No.用]:[vlookup 用]],2,FALSE)</f>
        <v>198</v>
      </c>
      <c r="B1143" s="14">
        <f>IF(ROW()=2,1,IF(A1142&lt;&gt;Receive[[#This Row],[No]],1,B1142+1))</f>
        <v>1</v>
      </c>
      <c r="C1143" t="s">
        <v>108</v>
      </c>
      <c r="D1143" t="s">
        <v>133</v>
      </c>
      <c r="E1143" t="s">
        <v>77</v>
      </c>
      <c r="F1143" t="s">
        <v>82</v>
      </c>
      <c r="G1143" t="s">
        <v>134</v>
      </c>
      <c r="H1143" t="s">
        <v>71</v>
      </c>
      <c r="I1143">
        <v>1</v>
      </c>
      <c r="J1143" t="s">
        <v>229</v>
      </c>
      <c r="K1143" s="1" t="s">
        <v>119</v>
      </c>
      <c r="L1143" s="1" t="s">
        <v>162</v>
      </c>
      <c r="M1143">
        <v>27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ユニフォーム昼神幸郎ICONIC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2</v>
      </c>
      <c r="C1144" t="s">
        <v>108</v>
      </c>
      <c r="D1144" t="s">
        <v>133</v>
      </c>
      <c r="E1144" t="s">
        <v>77</v>
      </c>
      <c r="F1144" t="s">
        <v>82</v>
      </c>
      <c r="G1144" t="s">
        <v>134</v>
      </c>
      <c r="H1144" t="s">
        <v>71</v>
      </c>
      <c r="I1144">
        <v>1</v>
      </c>
      <c r="J1144" t="s">
        <v>229</v>
      </c>
      <c r="K1144" s="1" t="s">
        <v>195</v>
      </c>
      <c r="L1144" s="1" t="s">
        <v>162</v>
      </c>
      <c r="M1144">
        <v>27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ユニフォーム昼神幸郎ICONIC</v>
      </c>
    </row>
    <row r="1145" spans="1:20" x14ac:dyDescent="0.35">
      <c r="A1145">
        <f>VLOOKUP(Receive[[#This Row],[No用]],SetNo[[No.用]:[vlookup 用]],2,FALSE)</f>
        <v>198</v>
      </c>
      <c r="B1145" s="14">
        <f>IF(ROW()=2,1,IF(A1144&lt;&gt;Receive[[#This Row],[No]],1,B1144+1))</f>
        <v>3</v>
      </c>
      <c r="C1145" t="s">
        <v>108</v>
      </c>
      <c r="D1145" t="s">
        <v>133</v>
      </c>
      <c r="E1145" t="s">
        <v>77</v>
      </c>
      <c r="F1145" t="s">
        <v>82</v>
      </c>
      <c r="G1145" t="s">
        <v>134</v>
      </c>
      <c r="H1145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ユニフォーム昼神幸郎ICONIC</v>
      </c>
    </row>
    <row r="1146" spans="1:20" x14ac:dyDescent="0.35">
      <c r="A1146">
        <f>VLOOKUP(Receive[[#This Row],[No用]],SetNo[[No.用]:[vlookup 用]],2,FALSE)</f>
        <v>198</v>
      </c>
      <c r="B1146" s="14">
        <f>IF(ROW()=2,1,IF(A1145&lt;&gt;Receive[[#This Row],[No]],1,B1145+1))</f>
        <v>4</v>
      </c>
      <c r="C1146" t="s">
        <v>108</v>
      </c>
      <c r="D1146" t="s">
        <v>133</v>
      </c>
      <c r="E1146" t="s">
        <v>77</v>
      </c>
      <c r="F1146" t="s">
        <v>82</v>
      </c>
      <c r="G1146" t="s">
        <v>134</v>
      </c>
      <c r="H1146" t="s">
        <v>71</v>
      </c>
      <c r="I1146">
        <v>1</v>
      </c>
      <c r="J1146" t="s">
        <v>229</v>
      </c>
      <c r="K1146" s="1" t="s">
        <v>120</v>
      </c>
      <c r="L1146" s="1" t="s">
        <v>162</v>
      </c>
      <c r="M1146">
        <v>27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ユニフォーム昼神幸郎ICONIC</v>
      </c>
    </row>
    <row r="1147" spans="1:20" x14ac:dyDescent="0.35">
      <c r="A1147">
        <f>VLOOKUP(Receive[[#This Row],[No用]],SetNo[[No.用]:[vlookup 用]],2,FALSE)</f>
        <v>198</v>
      </c>
      <c r="B1147" s="14">
        <f>IF(ROW()=2,1,IF(A1146&lt;&gt;Receive[[#This Row],[No]],1,B1146+1))</f>
        <v>5</v>
      </c>
      <c r="C1147" t="s">
        <v>108</v>
      </c>
      <c r="D1147" t="s">
        <v>133</v>
      </c>
      <c r="E1147" t="s">
        <v>77</v>
      </c>
      <c r="F1147" t="s">
        <v>82</v>
      </c>
      <c r="G1147" t="s">
        <v>134</v>
      </c>
      <c r="H1147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ユニフォーム昼神幸郎ICONIC</v>
      </c>
    </row>
    <row r="1148" spans="1:20" x14ac:dyDescent="0.35">
      <c r="A1148">
        <f>VLOOKUP(Receive[[#This Row],[No用]],SetNo[[No.用]:[vlookup 用]],2,FALSE)</f>
        <v>198</v>
      </c>
      <c r="B1148" s="14">
        <f>IF(ROW()=2,1,IF(A1147&lt;&gt;Receive[[#This Row],[No]],1,B1147+1))</f>
        <v>6</v>
      </c>
      <c r="C1148" t="s">
        <v>108</v>
      </c>
      <c r="D1148" t="s">
        <v>133</v>
      </c>
      <c r="E1148" t="s">
        <v>77</v>
      </c>
      <c r="F1148" t="s">
        <v>82</v>
      </c>
      <c r="G1148" t="s">
        <v>134</v>
      </c>
      <c r="H1148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12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ユニフォーム昼神幸郎ICONIC</v>
      </c>
    </row>
    <row r="1149" spans="1:20" x14ac:dyDescent="0.35">
      <c r="A1149">
        <f>VLOOKUP(Receive[[#This Row],[No用]],SetNo[[No.用]:[vlookup 用]],2,FALSE)</f>
        <v>199</v>
      </c>
      <c r="B1149" s="14">
        <f>IF(ROW()=2,1,IF(A1148&lt;&gt;Receive[[#This Row],[No]],1,B1148+1))</f>
        <v>1</v>
      </c>
      <c r="C1149" s="1" t="s">
        <v>915</v>
      </c>
      <c r="D1149" t="s">
        <v>133</v>
      </c>
      <c r="E1149" s="1" t="s">
        <v>73</v>
      </c>
      <c r="F1149" t="s">
        <v>82</v>
      </c>
      <c r="G1149" t="s">
        <v>134</v>
      </c>
      <c r="H1149" t="s">
        <v>71</v>
      </c>
      <c r="I1149">
        <v>1</v>
      </c>
      <c r="J1149" t="s">
        <v>229</v>
      </c>
      <c r="K1149" s="1" t="s">
        <v>119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Xmas昼神幸郎ICONIC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2</v>
      </c>
      <c r="C1150" s="1" t="s">
        <v>915</v>
      </c>
      <c r="D1150" t="s">
        <v>133</v>
      </c>
      <c r="E1150" s="1" t="s">
        <v>73</v>
      </c>
      <c r="F1150" t="s">
        <v>82</v>
      </c>
      <c r="G1150" t="s">
        <v>134</v>
      </c>
      <c r="H1150" t="s">
        <v>71</v>
      </c>
      <c r="I1150">
        <v>1</v>
      </c>
      <c r="J1150" t="s">
        <v>229</v>
      </c>
      <c r="K1150" s="1" t="s">
        <v>195</v>
      </c>
      <c r="L1150" s="1" t="s">
        <v>162</v>
      </c>
      <c r="M1150">
        <v>27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Xmas昼神幸郎ICONIC</v>
      </c>
    </row>
    <row r="1151" spans="1:20" x14ac:dyDescent="0.35">
      <c r="A1151">
        <f>VLOOKUP(Receive[[#This Row],[No用]],SetNo[[No.用]:[vlookup 用]],2,FALSE)</f>
        <v>199</v>
      </c>
      <c r="B1151" s="14">
        <f>IF(ROW()=2,1,IF(A1150&lt;&gt;Receive[[#This Row],[No]],1,B1150+1))</f>
        <v>3</v>
      </c>
      <c r="C1151" s="1" t="s">
        <v>915</v>
      </c>
      <c r="D1151" t="s">
        <v>133</v>
      </c>
      <c r="E1151" s="1" t="s">
        <v>73</v>
      </c>
      <c r="F1151" t="s">
        <v>82</v>
      </c>
      <c r="G1151" t="s">
        <v>134</v>
      </c>
      <c r="H115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Xmas昼神幸郎ICONIC</v>
      </c>
    </row>
    <row r="1152" spans="1:20" x14ac:dyDescent="0.35">
      <c r="A1152">
        <f>VLOOKUP(Receive[[#This Row],[No用]],SetNo[[No.用]:[vlookup 用]],2,FALSE)</f>
        <v>199</v>
      </c>
      <c r="B1152" s="14">
        <f>IF(ROW()=2,1,IF(A1151&lt;&gt;Receive[[#This Row],[No]],1,B1151+1))</f>
        <v>4</v>
      </c>
      <c r="C1152" s="1" t="s">
        <v>915</v>
      </c>
      <c r="D1152" t="s">
        <v>133</v>
      </c>
      <c r="E1152" s="1" t="s">
        <v>73</v>
      </c>
      <c r="F1152" t="s">
        <v>82</v>
      </c>
      <c r="G1152" t="s">
        <v>134</v>
      </c>
      <c r="H1152" t="s">
        <v>71</v>
      </c>
      <c r="I1152">
        <v>1</v>
      </c>
      <c r="J1152" t="s">
        <v>229</v>
      </c>
      <c r="K1152" s="1" t="s">
        <v>120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Xmas昼神幸郎ICONIC</v>
      </c>
    </row>
    <row r="1153" spans="1:20" x14ac:dyDescent="0.35">
      <c r="A1153">
        <f>VLOOKUP(Receive[[#This Row],[No用]],SetNo[[No.用]:[vlookup 用]],2,FALSE)</f>
        <v>199</v>
      </c>
      <c r="B1153" s="14">
        <f>IF(ROW()=2,1,IF(A1152&lt;&gt;Receive[[#This Row],[No]],1,B1152+1))</f>
        <v>5</v>
      </c>
      <c r="C1153" s="1" t="s">
        <v>915</v>
      </c>
      <c r="D1153" t="s">
        <v>133</v>
      </c>
      <c r="E1153" s="1" t="s">
        <v>73</v>
      </c>
      <c r="F1153" t="s">
        <v>82</v>
      </c>
      <c r="G1153" t="s">
        <v>134</v>
      </c>
      <c r="H1153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Xmas昼神幸郎ICONIC</v>
      </c>
    </row>
    <row r="1154" spans="1:20" x14ac:dyDescent="0.35">
      <c r="A1154">
        <f>VLOOKUP(Receive[[#This Row],[No用]],SetNo[[No.用]:[vlookup 用]],2,FALSE)</f>
        <v>199</v>
      </c>
      <c r="B1154" s="14">
        <f>IF(ROW()=2,1,IF(A1153&lt;&gt;Receive[[#This Row],[No]],1,B1153+1))</f>
        <v>6</v>
      </c>
      <c r="C1154" s="1" t="s">
        <v>915</v>
      </c>
      <c r="D1154" t="s">
        <v>133</v>
      </c>
      <c r="E1154" s="1" t="s">
        <v>73</v>
      </c>
      <c r="F1154" t="s">
        <v>82</v>
      </c>
      <c r="G1154" t="s">
        <v>134</v>
      </c>
      <c r="H1154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12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Xmas昼神幸郎ICONIC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1</v>
      </c>
      <c r="C1155" t="s">
        <v>108</v>
      </c>
      <c r="D1155" t="s">
        <v>131</v>
      </c>
      <c r="E1155" t="s">
        <v>77</v>
      </c>
      <c r="F1155" t="s">
        <v>78</v>
      </c>
      <c r="G1155" t="s">
        <v>135</v>
      </c>
      <c r="H1155" t="s">
        <v>71</v>
      </c>
      <c r="I1155">
        <v>1</v>
      </c>
      <c r="J1155" t="s">
        <v>229</v>
      </c>
      <c r="K1155" s="1" t="s">
        <v>119</v>
      </c>
      <c r="L1155" s="1" t="s">
        <v>162</v>
      </c>
      <c r="M1155">
        <v>33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ユニフォーム佐久早聖臣ICONIC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2</v>
      </c>
      <c r="C1156" t="s">
        <v>108</v>
      </c>
      <c r="D1156" t="s">
        <v>131</v>
      </c>
      <c r="E1156" t="s">
        <v>77</v>
      </c>
      <c r="F1156" t="s">
        <v>78</v>
      </c>
      <c r="G1156" t="s">
        <v>135</v>
      </c>
      <c r="H1156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33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ユニフォーム佐久早聖臣ICONIC</v>
      </c>
    </row>
    <row r="1157" spans="1:20" x14ac:dyDescent="0.35">
      <c r="A1157">
        <f>VLOOKUP(Receive[[#This Row],[No用]],SetNo[[No.用]:[vlookup 用]],2,FALSE)</f>
        <v>200</v>
      </c>
      <c r="B1157" s="14">
        <f>IF(ROW()=2,1,IF(A1156&lt;&gt;Receive[[#This Row],[No]],1,B1156+1))</f>
        <v>3</v>
      </c>
      <c r="C1157" t="s">
        <v>108</v>
      </c>
      <c r="D1157" t="s">
        <v>131</v>
      </c>
      <c r="E1157" t="s">
        <v>77</v>
      </c>
      <c r="F1157" t="s">
        <v>78</v>
      </c>
      <c r="G1157" t="s">
        <v>135</v>
      </c>
      <c r="H1157" t="s">
        <v>71</v>
      </c>
      <c r="I1157">
        <v>1</v>
      </c>
      <c r="J1157" t="s">
        <v>229</v>
      </c>
      <c r="K1157" s="1" t="s">
        <v>120</v>
      </c>
      <c r="L1157" s="1" t="s">
        <v>162</v>
      </c>
      <c r="M1157">
        <v>33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ユニフォーム佐久早聖臣ICONIC</v>
      </c>
    </row>
    <row r="1158" spans="1:20" x14ac:dyDescent="0.35">
      <c r="A1158">
        <f>VLOOKUP(Receive[[#This Row],[No用]],SetNo[[No.用]:[vlookup 用]],2,FALSE)</f>
        <v>200</v>
      </c>
      <c r="B1158" s="14">
        <f>IF(ROW()=2,1,IF(A1157&lt;&gt;Receive[[#This Row],[No]],1,B1157+1))</f>
        <v>4</v>
      </c>
      <c r="C1158" t="s">
        <v>108</v>
      </c>
      <c r="D1158" t="s">
        <v>131</v>
      </c>
      <c r="E1158" t="s">
        <v>77</v>
      </c>
      <c r="F1158" t="s">
        <v>78</v>
      </c>
      <c r="G1158" t="s">
        <v>135</v>
      </c>
      <c r="H1158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ユニフォーム佐久早聖臣ICONIC</v>
      </c>
    </row>
    <row r="1159" spans="1:20" x14ac:dyDescent="0.35">
      <c r="A1159">
        <f>VLOOKUP(Receive[[#This Row],[No用]],SetNo[[No.用]:[vlookup 用]],2,FALSE)</f>
        <v>200</v>
      </c>
      <c r="B1159" s="14">
        <f>IF(ROW()=2,1,IF(A1158&lt;&gt;Receive[[#This Row],[No]],1,B1158+1))</f>
        <v>5</v>
      </c>
      <c r="C1159" t="s">
        <v>108</v>
      </c>
      <c r="D1159" t="s">
        <v>131</v>
      </c>
      <c r="E1159" t="s">
        <v>77</v>
      </c>
      <c r="F1159" t="s">
        <v>78</v>
      </c>
      <c r="G1159" t="s">
        <v>135</v>
      </c>
      <c r="H1159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ユニフォーム佐久早聖臣ICONIC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1</v>
      </c>
      <c r="C1160" s="1" t="s">
        <v>1049</v>
      </c>
      <c r="D1160" s="1" t="s">
        <v>131</v>
      </c>
      <c r="E1160" s="1" t="s">
        <v>73</v>
      </c>
      <c r="F1160" s="1" t="s">
        <v>78</v>
      </c>
      <c r="G1160" s="1" t="s">
        <v>135</v>
      </c>
      <c r="H1160" s="1" t="s">
        <v>71</v>
      </c>
      <c r="I1160">
        <v>1</v>
      </c>
      <c r="J1160" t="s">
        <v>229</v>
      </c>
      <c r="K1160" s="1" t="s">
        <v>119</v>
      </c>
      <c r="L1160" s="1" t="s">
        <v>162</v>
      </c>
      <c r="M1160">
        <v>33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サバゲ佐久早聖臣ICONIC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2</v>
      </c>
      <c r="C1161" s="1" t="s">
        <v>1049</v>
      </c>
      <c r="D1161" s="1" t="s">
        <v>131</v>
      </c>
      <c r="E1161" s="1" t="s">
        <v>73</v>
      </c>
      <c r="F1161" s="1" t="s">
        <v>78</v>
      </c>
      <c r="G1161" s="1" t="s">
        <v>135</v>
      </c>
      <c r="H1161" s="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33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サバゲ佐久早聖臣ICONIC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3</v>
      </c>
      <c r="C1162" s="1" t="s">
        <v>1049</v>
      </c>
      <c r="D1162" s="1" t="s">
        <v>131</v>
      </c>
      <c r="E1162" s="1" t="s">
        <v>73</v>
      </c>
      <c r="F1162" s="1" t="s">
        <v>78</v>
      </c>
      <c r="G1162" s="1" t="s">
        <v>135</v>
      </c>
      <c r="H1162" s="1" t="s">
        <v>71</v>
      </c>
      <c r="I1162">
        <v>1</v>
      </c>
      <c r="J1162" t="s">
        <v>229</v>
      </c>
      <c r="K1162" s="1" t="s">
        <v>120</v>
      </c>
      <c r="L1162" s="1" t="s">
        <v>162</v>
      </c>
      <c r="M1162">
        <v>33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サバゲ佐久早聖臣ICONIC</v>
      </c>
    </row>
    <row r="1163" spans="1:20" x14ac:dyDescent="0.35">
      <c r="A1163">
        <f>VLOOKUP(Receive[[#This Row],[No用]],SetNo[[No.用]:[vlookup 用]],2,FALSE)</f>
        <v>201</v>
      </c>
      <c r="B1163" s="14">
        <f>IF(ROW()=2,1,IF(A1162&lt;&gt;Receive[[#This Row],[No]],1,B1162+1))</f>
        <v>4</v>
      </c>
      <c r="C1163" s="1" t="s">
        <v>1049</v>
      </c>
      <c r="D1163" s="1" t="s">
        <v>131</v>
      </c>
      <c r="E1163" s="1" t="s">
        <v>73</v>
      </c>
      <c r="F1163" s="1" t="s">
        <v>78</v>
      </c>
      <c r="G1163" s="1" t="s">
        <v>135</v>
      </c>
      <c r="H1163" s="1" t="s">
        <v>71</v>
      </c>
      <c r="I1163">
        <v>1</v>
      </c>
      <c r="J1163" t="s">
        <v>229</v>
      </c>
      <c r="K1163" s="1" t="s">
        <v>164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サバゲ佐久早聖臣ICONIC</v>
      </c>
    </row>
    <row r="1164" spans="1:20" x14ac:dyDescent="0.35">
      <c r="A1164">
        <f>VLOOKUP(Receive[[#This Row],[No用]],SetNo[[No.用]:[vlookup 用]],2,FALSE)</f>
        <v>201</v>
      </c>
      <c r="B1164" s="14">
        <f>IF(ROW()=2,1,IF(A1163&lt;&gt;Receive[[#This Row],[No]],1,B1163+1))</f>
        <v>5</v>
      </c>
      <c r="C1164" s="1" t="s">
        <v>1049</v>
      </c>
      <c r="D1164" s="1" t="s">
        <v>131</v>
      </c>
      <c r="E1164" s="1" t="s">
        <v>73</v>
      </c>
      <c r="F1164" s="1" t="s">
        <v>78</v>
      </c>
      <c r="G1164" s="1" t="s">
        <v>135</v>
      </c>
      <c r="H1164" s="1" t="s">
        <v>71</v>
      </c>
      <c r="I1164">
        <v>1</v>
      </c>
      <c r="J1164" t="s">
        <v>229</v>
      </c>
      <c r="K1164" s="1" t="s">
        <v>165</v>
      </c>
      <c r="L1164" s="1" t="s">
        <v>162</v>
      </c>
      <c r="M1164">
        <v>13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サバゲ佐久早聖臣ICONIC</v>
      </c>
    </row>
    <row r="1165" spans="1:20" x14ac:dyDescent="0.35">
      <c r="A1165">
        <f>VLOOKUP(Receive[[#This Row],[No用]],SetNo[[No.用]:[vlookup 用]],2,FALSE)</f>
        <v>202</v>
      </c>
      <c r="B1165" s="14">
        <f>IF(ROW()=2,1,IF(A1164&lt;&gt;Receive[[#This Row],[No]],1,B1164+1))</f>
        <v>1</v>
      </c>
      <c r="C1165" t="s">
        <v>108</v>
      </c>
      <c r="D1165" t="s">
        <v>132</v>
      </c>
      <c r="E1165" t="s">
        <v>77</v>
      </c>
      <c r="F1165" t="s">
        <v>80</v>
      </c>
      <c r="G1165" t="s">
        <v>135</v>
      </c>
      <c r="H1165" t="s">
        <v>71</v>
      </c>
      <c r="I1165">
        <v>1</v>
      </c>
      <c r="J1165" t="s">
        <v>229</v>
      </c>
      <c r="K1165" s="1" t="s">
        <v>119</v>
      </c>
      <c r="L1165" s="1" t="s">
        <v>173</v>
      </c>
      <c r="M1165">
        <v>38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ユニフォーム小森元也ICONIC</v>
      </c>
    </row>
    <row r="1166" spans="1:20" x14ac:dyDescent="0.35">
      <c r="A1166">
        <f>VLOOKUP(Receive[[#This Row],[No用]],SetNo[[No.用]:[vlookup 用]],2,FALSE)</f>
        <v>202</v>
      </c>
      <c r="B1166" s="14">
        <f>IF(ROW()=2,1,IF(A1165&lt;&gt;Receive[[#This Row],[No]],1,B1165+1))</f>
        <v>2</v>
      </c>
      <c r="C1166" t="s">
        <v>108</v>
      </c>
      <c r="D1166" t="s">
        <v>132</v>
      </c>
      <c r="E1166" t="s">
        <v>77</v>
      </c>
      <c r="F1166" t="s">
        <v>80</v>
      </c>
      <c r="G1166" t="s">
        <v>135</v>
      </c>
      <c r="H1166" t="s">
        <v>71</v>
      </c>
      <c r="I1166">
        <v>1</v>
      </c>
      <c r="J1166" t="s">
        <v>229</v>
      </c>
      <c r="K1166" s="1" t="s">
        <v>195</v>
      </c>
      <c r="L1166" s="1" t="s">
        <v>178</v>
      </c>
      <c r="M1166">
        <v>38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ユニフォーム小森元也ICONIC</v>
      </c>
    </row>
    <row r="1167" spans="1:20" x14ac:dyDescent="0.35">
      <c r="A1167">
        <f>VLOOKUP(Receive[[#This Row],[No用]],SetNo[[No.用]:[vlookup 用]],2,FALSE)</f>
        <v>202</v>
      </c>
      <c r="B1167" s="14">
        <f>IF(ROW()=2,1,IF(A1166&lt;&gt;Receive[[#This Row],[No]],1,B1166+1))</f>
        <v>3</v>
      </c>
      <c r="C1167" t="s">
        <v>108</v>
      </c>
      <c r="D1167" t="s">
        <v>132</v>
      </c>
      <c r="E1167" t="s">
        <v>77</v>
      </c>
      <c r="F1167" t="s">
        <v>80</v>
      </c>
      <c r="G1167" t="s">
        <v>135</v>
      </c>
      <c r="H1167" t="s">
        <v>71</v>
      </c>
      <c r="I1167">
        <v>1</v>
      </c>
      <c r="J1167" t="s">
        <v>229</v>
      </c>
      <c r="K1167" s="1" t="s">
        <v>163</v>
      </c>
      <c r="L1167" s="1" t="s">
        <v>162</v>
      </c>
      <c r="M1167">
        <v>35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ユニフォーム小森元也ICONIC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4</v>
      </c>
      <c r="C1168" t="s">
        <v>108</v>
      </c>
      <c r="D1168" t="s">
        <v>132</v>
      </c>
      <c r="E1168" t="s">
        <v>77</v>
      </c>
      <c r="F1168" t="s">
        <v>80</v>
      </c>
      <c r="G1168" t="s">
        <v>135</v>
      </c>
      <c r="H1168" t="s">
        <v>71</v>
      </c>
      <c r="I1168">
        <v>1</v>
      </c>
      <c r="J1168" t="s">
        <v>229</v>
      </c>
      <c r="K1168" s="1" t="s">
        <v>231</v>
      </c>
      <c r="L1168" s="1" t="s">
        <v>162</v>
      </c>
      <c r="M1168">
        <v>35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ユニフォーム小森元也ICONIC</v>
      </c>
    </row>
    <row r="1169" spans="1:20" x14ac:dyDescent="0.35">
      <c r="A1169">
        <f>VLOOKUP(Receive[[#This Row],[No用]],SetNo[[No.用]:[vlookup 用]],2,FALSE)</f>
        <v>202</v>
      </c>
      <c r="B1169" s="14">
        <f>IF(ROW()=2,1,IF(A1168&lt;&gt;Receive[[#This Row],[No]],1,B1168+1))</f>
        <v>5</v>
      </c>
      <c r="C1169" t="s">
        <v>108</v>
      </c>
      <c r="D1169" t="s">
        <v>132</v>
      </c>
      <c r="E1169" t="s">
        <v>77</v>
      </c>
      <c r="F1169" t="s">
        <v>80</v>
      </c>
      <c r="G1169" t="s">
        <v>135</v>
      </c>
      <c r="H1169" t="s">
        <v>71</v>
      </c>
      <c r="I1169">
        <v>1</v>
      </c>
      <c r="J1169" t="s">
        <v>229</v>
      </c>
      <c r="K1169" s="1" t="s">
        <v>120</v>
      </c>
      <c r="L1169" s="1" t="s">
        <v>173</v>
      </c>
      <c r="M1169">
        <v>38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ユニフォーム小森元也ICONIC</v>
      </c>
    </row>
    <row r="1170" spans="1:20" x14ac:dyDescent="0.35">
      <c r="A1170">
        <f>VLOOKUP(Receive[[#This Row],[No用]],SetNo[[No.用]:[vlookup 用]],2,FALSE)</f>
        <v>202</v>
      </c>
      <c r="B1170" s="14">
        <f>IF(ROW()=2,1,IF(A1169&lt;&gt;Receive[[#This Row],[No]],1,B1169+1))</f>
        <v>6</v>
      </c>
      <c r="C1170" t="s">
        <v>108</v>
      </c>
      <c r="D1170" t="s">
        <v>132</v>
      </c>
      <c r="E1170" t="s">
        <v>77</v>
      </c>
      <c r="F1170" t="s">
        <v>80</v>
      </c>
      <c r="G1170" t="s">
        <v>135</v>
      </c>
      <c r="H1170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35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ユニフォーム小森元也ICONIC</v>
      </c>
    </row>
    <row r="1171" spans="1:20" x14ac:dyDescent="0.35">
      <c r="A1171">
        <f>VLOOKUP(Receive[[#This Row],[No用]],SetNo[[No.用]:[vlookup 用]],2,FALSE)</f>
        <v>202</v>
      </c>
      <c r="B1171" s="14">
        <f>IF(ROW()=2,1,IF(A1170&lt;&gt;Receive[[#This Row],[No]],1,B1170+1))</f>
        <v>7</v>
      </c>
      <c r="C1171" t="s">
        <v>108</v>
      </c>
      <c r="D1171" t="s">
        <v>132</v>
      </c>
      <c r="E1171" t="s">
        <v>77</v>
      </c>
      <c r="F1171" t="s">
        <v>80</v>
      </c>
      <c r="G1171" t="s">
        <v>135</v>
      </c>
      <c r="H117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33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ユニフォーム小森元也ICONIC</v>
      </c>
    </row>
    <row r="1172" spans="1:20" x14ac:dyDescent="0.35">
      <c r="A1172">
        <f>VLOOKUP(Receive[[#This Row],[No用]],SetNo[[No.用]:[vlookup 用]],2,FALSE)</f>
        <v>202</v>
      </c>
      <c r="B1172" s="14">
        <f>IF(ROW()=2,1,IF(A1171&lt;&gt;Receive[[#This Row],[No]],1,B1171+1))</f>
        <v>8</v>
      </c>
      <c r="C1172" t="s">
        <v>108</v>
      </c>
      <c r="D1172" t="s">
        <v>132</v>
      </c>
      <c r="E1172" t="s">
        <v>77</v>
      </c>
      <c r="F1172" t="s">
        <v>80</v>
      </c>
      <c r="G1172" t="s">
        <v>135</v>
      </c>
      <c r="H1172" t="s">
        <v>71</v>
      </c>
      <c r="I1172">
        <v>1</v>
      </c>
      <c r="J1172" t="s">
        <v>229</v>
      </c>
      <c r="K1172" s="1" t="s">
        <v>183</v>
      </c>
      <c r="L1172" s="1" t="s">
        <v>225</v>
      </c>
      <c r="M1172">
        <v>47</v>
      </c>
      <c r="N1172">
        <v>0</v>
      </c>
      <c r="O1172" s="1">
        <v>57</v>
      </c>
      <c r="P1172">
        <v>0</v>
      </c>
      <c r="R1172" s="1" t="s">
        <v>700</v>
      </c>
      <c r="T1172" t="str">
        <f>Receive[[#This Row],[服装]]&amp;Receive[[#This Row],[名前]]&amp;Receive[[#This Row],[レアリティ]]</f>
        <v>ユニフォーム小森元也ICONIC</v>
      </c>
    </row>
    <row r="1173" spans="1:20" x14ac:dyDescent="0.35">
      <c r="A1173">
        <f>VLOOKUP(Receive[[#This Row],[No用]],SetNo[[No.用]:[vlookup 用]],2,FALSE)</f>
        <v>203</v>
      </c>
      <c r="B1173" s="14">
        <f>IF(ROW()=2,1,IF(A1172&lt;&gt;Receive[[#This Row],[No]],1,B1172+1))</f>
        <v>1</v>
      </c>
      <c r="C1173" t="s">
        <v>108</v>
      </c>
      <c r="D1173" s="1" t="s">
        <v>687</v>
      </c>
      <c r="E1173" s="1" t="s">
        <v>90</v>
      </c>
      <c r="F1173" s="1" t="s">
        <v>78</v>
      </c>
      <c r="G1173" s="1" t="s">
        <v>689</v>
      </c>
      <c r="H1173" t="s">
        <v>71</v>
      </c>
      <c r="I1173">
        <v>1</v>
      </c>
      <c r="J1173" t="s">
        <v>229</v>
      </c>
      <c r="K1173" s="1" t="s">
        <v>119</v>
      </c>
      <c r="L1173" s="1" t="s">
        <v>699</v>
      </c>
      <c r="M1173">
        <v>36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ユニフォーム大将優ICONIC</v>
      </c>
    </row>
    <row r="1174" spans="1:20" x14ac:dyDescent="0.35">
      <c r="A1174">
        <f>VLOOKUP(Receive[[#This Row],[No用]],SetNo[[No.用]:[vlookup 用]],2,FALSE)</f>
        <v>203</v>
      </c>
      <c r="B1174" s="14">
        <f>IF(ROW()=2,1,IF(A1173&lt;&gt;Receive[[#This Row],[No]],1,B1173+1))</f>
        <v>2</v>
      </c>
      <c r="C1174" t="s">
        <v>108</v>
      </c>
      <c r="D1174" s="1" t="s">
        <v>687</v>
      </c>
      <c r="E1174" s="1" t="s">
        <v>90</v>
      </c>
      <c r="F1174" s="1" t="s">
        <v>78</v>
      </c>
      <c r="G1174" s="1" t="s">
        <v>689</v>
      </c>
      <c r="H1174" t="s">
        <v>71</v>
      </c>
      <c r="I1174">
        <v>1</v>
      </c>
      <c r="J1174" t="s">
        <v>229</v>
      </c>
      <c r="K1174" s="1" t="s">
        <v>163</v>
      </c>
      <c r="L1174" s="1" t="s">
        <v>162</v>
      </c>
      <c r="M1174">
        <v>33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ユニフォーム大将優ICONIC</v>
      </c>
    </row>
    <row r="1175" spans="1:20" x14ac:dyDescent="0.35">
      <c r="A1175">
        <f>VLOOKUP(Receive[[#This Row],[No用]],SetNo[[No.用]:[vlookup 用]],2,FALSE)</f>
        <v>203</v>
      </c>
      <c r="B1175" s="14">
        <f>IF(ROW()=2,1,IF(A1174&lt;&gt;Receive[[#This Row],[No]],1,B1174+1))</f>
        <v>3</v>
      </c>
      <c r="C1175" t="s">
        <v>108</v>
      </c>
      <c r="D1175" s="1" t="s">
        <v>687</v>
      </c>
      <c r="E1175" s="1" t="s">
        <v>90</v>
      </c>
      <c r="F1175" s="1" t="s">
        <v>78</v>
      </c>
      <c r="G1175" s="1" t="s">
        <v>689</v>
      </c>
      <c r="H1175" t="s">
        <v>71</v>
      </c>
      <c r="I1175">
        <v>1</v>
      </c>
      <c r="J1175" t="s">
        <v>229</v>
      </c>
      <c r="K1175" s="1" t="s">
        <v>231</v>
      </c>
      <c r="L1175" s="1" t="s">
        <v>162</v>
      </c>
      <c r="M1175">
        <v>33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ユニフォーム大将優ICONIC</v>
      </c>
    </row>
    <row r="1176" spans="1:20" x14ac:dyDescent="0.35">
      <c r="A1176">
        <f>VLOOKUP(Receive[[#This Row],[No用]],SetNo[[No.用]:[vlookup 用]],2,FALSE)</f>
        <v>203</v>
      </c>
      <c r="B1176" s="14">
        <f>IF(ROW()=2,1,IF(A1175&lt;&gt;Receive[[#This Row],[No]],1,B1175+1))</f>
        <v>4</v>
      </c>
      <c r="C1176" t="s">
        <v>108</v>
      </c>
      <c r="D1176" s="1" t="s">
        <v>687</v>
      </c>
      <c r="E1176" s="1" t="s">
        <v>90</v>
      </c>
      <c r="F1176" s="1" t="s">
        <v>78</v>
      </c>
      <c r="G1176" s="1" t="s">
        <v>689</v>
      </c>
      <c r="H1176" t="s">
        <v>71</v>
      </c>
      <c r="I1176">
        <v>1</v>
      </c>
      <c r="J1176" t="s">
        <v>229</v>
      </c>
      <c r="K1176" s="1" t="s">
        <v>120</v>
      </c>
      <c r="L1176" s="1" t="s">
        <v>162</v>
      </c>
      <c r="M1176">
        <v>33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ユニフォーム大将優ICONIC</v>
      </c>
    </row>
    <row r="1177" spans="1:20" x14ac:dyDescent="0.35">
      <c r="A1177">
        <f>VLOOKUP(Receive[[#This Row],[No用]],SetNo[[No.用]:[vlookup 用]],2,FALSE)</f>
        <v>203</v>
      </c>
      <c r="B1177" s="14">
        <f>IF(ROW()=2,1,IF(A1176&lt;&gt;Receive[[#This Row],[No]],1,B1176+1))</f>
        <v>5</v>
      </c>
      <c r="C1177" t="s">
        <v>108</v>
      </c>
      <c r="D1177" s="1" t="s">
        <v>687</v>
      </c>
      <c r="E1177" s="1" t="s">
        <v>90</v>
      </c>
      <c r="F1177" s="1" t="s">
        <v>78</v>
      </c>
      <c r="G1177" s="1" t="s">
        <v>689</v>
      </c>
      <c r="H1177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33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ユニフォーム大将優ICONIC</v>
      </c>
    </row>
    <row r="1178" spans="1:20" x14ac:dyDescent="0.35">
      <c r="A1178">
        <f>VLOOKUP(Receive[[#This Row],[No用]],SetNo[[No.用]:[vlookup 用]],2,FALSE)</f>
        <v>203</v>
      </c>
      <c r="B1178" s="14">
        <f>IF(ROW()=2,1,IF(A1177&lt;&gt;Receive[[#This Row],[No]],1,B1177+1))</f>
        <v>6</v>
      </c>
      <c r="C1178" t="s">
        <v>108</v>
      </c>
      <c r="D1178" s="1" t="s">
        <v>687</v>
      </c>
      <c r="E1178" s="1" t="s">
        <v>90</v>
      </c>
      <c r="F1178" s="1" t="s">
        <v>78</v>
      </c>
      <c r="G1178" s="1" t="s">
        <v>689</v>
      </c>
      <c r="H1178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14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ユニフォーム大将優ICONIC</v>
      </c>
    </row>
    <row r="1179" spans="1:20" x14ac:dyDescent="0.35">
      <c r="A1179">
        <f>VLOOKUP(Receive[[#This Row],[No用]],SetNo[[No.用]:[vlookup 用]],2,FALSE)</f>
        <v>204</v>
      </c>
      <c r="B1179" s="14">
        <f>IF(ROW()=2,1,IF(A1178&lt;&gt;Receive[[#This Row],[No]],1,B1178+1))</f>
        <v>1</v>
      </c>
      <c r="C1179" s="1" t="s">
        <v>935</v>
      </c>
      <c r="D1179" s="1" t="s">
        <v>687</v>
      </c>
      <c r="E1179" s="1" t="s">
        <v>77</v>
      </c>
      <c r="F1179" s="1" t="s">
        <v>78</v>
      </c>
      <c r="G1179" s="1" t="s">
        <v>689</v>
      </c>
      <c r="H1179" s="1" t="s">
        <v>690</v>
      </c>
      <c r="I1179">
        <v>1</v>
      </c>
      <c r="J1179" t="s">
        <v>229</v>
      </c>
      <c r="K1179" s="1" t="s">
        <v>119</v>
      </c>
      <c r="L1179" s="1" t="s">
        <v>699</v>
      </c>
      <c r="M1179">
        <v>36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新年大将優ICONIC</v>
      </c>
    </row>
    <row r="1180" spans="1:20" x14ac:dyDescent="0.35">
      <c r="A1180">
        <f>VLOOKUP(Receive[[#This Row],[No用]],SetNo[[No.用]:[vlookup 用]],2,FALSE)</f>
        <v>204</v>
      </c>
      <c r="B1180" s="14">
        <f>IF(ROW()=2,1,IF(A1179&lt;&gt;Receive[[#This Row],[No]],1,B1179+1))</f>
        <v>2</v>
      </c>
      <c r="C1180" s="1" t="s">
        <v>935</v>
      </c>
      <c r="D1180" s="1" t="s">
        <v>687</v>
      </c>
      <c r="E1180" s="1" t="s">
        <v>77</v>
      </c>
      <c r="F1180" s="1" t="s">
        <v>78</v>
      </c>
      <c r="G1180" s="1" t="s">
        <v>689</v>
      </c>
      <c r="H1180" s="1" t="s">
        <v>690</v>
      </c>
      <c r="I1180">
        <v>1</v>
      </c>
      <c r="J1180" t="s">
        <v>229</v>
      </c>
      <c r="K1180" s="1" t="s">
        <v>163</v>
      </c>
      <c r="L1180" s="1" t="s">
        <v>162</v>
      </c>
      <c r="M1180">
        <v>33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新年大将優ICONIC</v>
      </c>
    </row>
    <row r="1181" spans="1:20" x14ac:dyDescent="0.35">
      <c r="A1181">
        <f>VLOOKUP(Receive[[#This Row],[No用]],SetNo[[No.用]:[vlookup 用]],2,FALSE)</f>
        <v>204</v>
      </c>
      <c r="B1181" s="14">
        <f>IF(ROW()=2,1,IF(A1180&lt;&gt;Receive[[#This Row],[No]],1,B1180+1))</f>
        <v>3</v>
      </c>
      <c r="C1181" s="1" t="s">
        <v>935</v>
      </c>
      <c r="D1181" s="1" t="s">
        <v>687</v>
      </c>
      <c r="E1181" s="1" t="s">
        <v>77</v>
      </c>
      <c r="F1181" s="1" t="s">
        <v>78</v>
      </c>
      <c r="G1181" s="1" t="s">
        <v>689</v>
      </c>
      <c r="H1181" s="1" t="s">
        <v>690</v>
      </c>
      <c r="I1181">
        <v>1</v>
      </c>
      <c r="J1181" t="s">
        <v>229</v>
      </c>
      <c r="K1181" s="1" t="s">
        <v>231</v>
      </c>
      <c r="L1181" s="1" t="s">
        <v>162</v>
      </c>
      <c r="M1181">
        <v>33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新年大将優ICONIC</v>
      </c>
    </row>
    <row r="1182" spans="1:20" x14ac:dyDescent="0.35">
      <c r="A1182">
        <f>VLOOKUP(Receive[[#This Row],[No用]],SetNo[[No.用]:[vlookup 用]],2,FALSE)</f>
        <v>204</v>
      </c>
      <c r="B1182" s="14">
        <f>IF(ROW()=2,1,IF(A1181&lt;&gt;Receive[[#This Row],[No]],1,B1181+1))</f>
        <v>4</v>
      </c>
      <c r="C1182" s="1" t="s">
        <v>935</v>
      </c>
      <c r="D1182" s="1" t="s">
        <v>687</v>
      </c>
      <c r="E1182" s="1" t="s">
        <v>77</v>
      </c>
      <c r="F1182" s="1" t="s">
        <v>78</v>
      </c>
      <c r="G1182" s="1" t="s">
        <v>689</v>
      </c>
      <c r="H1182" s="1" t="s">
        <v>690</v>
      </c>
      <c r="I1182">
        <v>1</v>
      </c>
      <c r="J1182" t="s">
        <v>229</v>
      </c>
      <c r="K1182" s="1" t="s">
        <v>120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新年大将優ICONIC</v>
      </c>
    </row>
    <row r="1183" spans="1:20" x14ac:dyDescent="0.35">
      <c r="A1183">
        <f>VLOOKUP(Receive[[#This Row],[No用]],SetNo[[No.用]:[vlookup 用]],2,FALSE)</f>
        <v>204</v>
      </c>
      <c r="B1183" s="14">
        <f>IF(ROW()=2,1,IF(A1182&lt;&gt;Receive[[#This Row],[No]],1,B1182+1))</f>
        <v>5</v>
      </c>
      <c r="C1183" s="1" t="s">
        <v>935</v>
      </c>
      <c r="D1183" s="1" t="s">
        <v>687</v>
      </c>
      <c r="E1183" s="1" t="s">
        <v>77</v>
      </c>
      <c r="F1183" s="1" t="s">
        <v>78</v>
      </c>
      <c r="G1183" s="1" t="s">
        <v>689</v>
      </c>
      <c r="H1183" s="1" t="s">
        <v>690</v>
      </c>
      <c r="I1183">
        <v>1</v>
      </c>
      <c r="J1183" t="s">
        <v>229</v>
      </c>
      <c r="K1183" s="1" t="s">
        <v>164</v>
      </c>
      <c r="L1183" s="1" t="s">
        <v>162</v>
      </c>
      <c r="M1183">
        <v>33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新年大将優ICONIC</v>
      </c>
    </row>
    <row r="1184" spans="1:20" x14ac:dyDescent="0.35">
      <c r="A1184">
        <f>VLOOKUP(Receive[[#This Row],[No用]],SetNo[[No.用]:[vlookup 用]],2,FALSE)</f>
        <v>204</v>
      </c>
      <c r="B1184" s="14">
        <f>IF(ROW()=2,1,IF(A1183&lt;&gt;Receive[[#This Row],[No]],1,B1183+1))</f>
        <v>6</v>
      </c>
      <c r="C1184" s="1" t="s">
        <v>935</v>
      </c>
      <c r="D1184" s="1" t="s">
        <v>687</v>
      </c>
      <c r="E1184" s="1" t="s">
        <v>77</v>
      </c>
      <c r="F1184" s="1" t="s">
        <v>78</v>
      </c>
      <c r="G1184" s="1" t="s">
        <v>689</v>
      </c>
      <c r="H1184" s="1" t="s">
        <v>690</v>
      </c>
      <c r="I1184">
        <v>1</v>
      </c>
      <c r="J1184" t="s">
        <v>229</v>
      </c>
      <c r="K1184" s="1" t="s">
        <v>165</v>
      </c>
      <c r="L1184" s="1" t="s">
        <v>162</v>
      </c>
      <c r="M1184">
        <v>14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新年大将優ICONIC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1</v>
      </c>
      <c r="C1185" t="s">
        <v>108</v>
      </c>
      <c r="D1185" s="1" t="s">
        <v>692</v>
      </c>
      <c r="E1185" s="1" t="s">
        <v>90</v>
      </c>
      <c r="F1185" s="1" t="s">
        <v>78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119</v>
      </c>
      <c r="L1185" s="1" t="s">
        <v>162</v>
      </c>
      <c r="M1185">
        <v>29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ユニフォーム沼井和馬ICONIC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2</v>
      </c>
      <c r="C1186" t="s">
        <v>108</v>
      </c>
      <c r="D1186" s="1" t="s">
        <v>692</v>
      </c>
      <c r="E1186" s="1" t="s">
        <v>90</v>
      </c>
      <c r="F1186" s="1" t="s">
        <v>78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163</v>
      </c>
      <c r="L1186" s="1" t="s">
        <v>162</v>
      </c>
      <c r="M1186">
        <v>29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ユニフォーム沼井和馬ICONIC</v>
      </c>
    </row>
    <row r="1187" spans="1:20" x14ac:dyDescent="0.35">
      <c r="A1187">
        <f>VLOOKUP(Receive[[#This Row],[No用]],SetNo[[No.用]:[vlookup 用]],2,FALSE)</f>
        <v>205</v>
      </c>
      <c r="B1187" s="14">
        <f>IF(ROW()=2,1,IF(A1186&lt;&gt;Receive[[#This Row],[No]],1,B1186+1))</f>
        <v>3</v>
      </c>
      <c r="C1187" t="s">
        <v>108</v>
      </c>
      <c r="D1187" s="1" t="s">
        <v>692</v>
      </c>
      <c r="E1187" s="1" t="s">
        <v>90</v>
      </c>
      <c r="F1187" s="1" t="s">
        <v>78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120</v>
      </c>
      <c r="L1187" s="1" t="s">
        <v>162</v>
      </c>
      <c r="M1187">
        <v>29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ユニフォーム沼井和馬ICONIC</v>
      </c>
    </row>
    <row r="1188" spans="1:20" x14ac:dyDescent="0.35">
      <c r="A1188">
        <f>VLOOKUP(Receive[[#This Row],[No用]],SetNo[[No.用]:[vlookup 用]],2,FALSE)</f>
        <v>205</v>
      </c>
      <c r="B1188" s="14">
        <f>IF(ROW()=2,1,IF(A1187&lt;&gt;Receive[[#This Row],[No]],1,B1187+1))</f>
        <v>4</v>
      </c>
      <c r="C1188" t="s">
        <v>108</v>
      </c>
      <c r="D1188" s="1" t="s">
        <v>692</v>
      </c>
      <c r="E1188" s="1" t="s">
        <v>90</v>
      </c>
      <c r="F1188" s="1" t="s">
        <v>78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164</v>
      </c>
      <c r="L1188" s="1" t="s">
        <v>162</v>
      </c>
      <c r="M1188">
        <v>29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ユニフォーム沼井和馬ICONIC</v>
      </c>
    </row>
    <row r="1189" spans="1:20" x14ac:dyDescent="0.35">
      <c r="A1189">
        <f>VLOOKUP(Receive[[#This Row],[No用]],SetNo[[No.用]:[vlookup 用]],2,FALSE)</f>
        <v>205</v>
      </c>
      <c r="B1189" s="14">
        <f>IF(ROW()=2,1,IF(A1188&lt;&gt;Receive[[#This Row],[No]],1,B1188+1))</f>
        <v>5</v>
      </c>
      <c r="C1189" t="s">
        <v>108</v>
      </c>
      <c r="D1189" s="1" t="s">
        <v>692</v>
      </c>
      <c r="E1189" s="1" t="s">
        <v>90</v>
      </c>
      <c r="F1189" s="1" t="s">
        <v>78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165</v>
      </c>
      <c r="L1189" s="1" t="s">
        <v>162</v>
      </c>
      <c r="M1189">
        <v>13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ユニフォーム沼井和馬ICONIC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1</v>
      </c>
      <c r="C1190" t="s">
        <v>108</v>
      </c>
      <c r="D1190" s="1" t="s">
        <v>858</v>
      </c>
      <c r="E1190" s="1" t="s">
        <v>90</v>
      </c>
      <c r="F1190" s="1" t="s">
        <v>78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119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ユニフォーム潜尚保ICONIC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2</v>
      </c>
      <c r="C1191" t="s">
        <v>108</v>
      </c>
      <c r="D1191" s="1" t="s">
        <v>858</v>
      </c>
      <c r="E1191" s="1" t="s">
        <v>90</v>
      </c>
      <c r="F1191" s="1" t="s">
        <v>78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163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ユニフォーム潜尚保ICONIC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3</v>
      </c>
      <c r="C1192" t="s">
        <v>108</v>
      </c>
      <c r="D1192" s="1" t="s">
        <v>858</v>
      </c>
      <c r="E1192" s="1" t="s">
        <v>90</v>
      </c>
      <c r="F1192" s="1" t="s">
        <v>78</v>
      </c>
      <c r="G1192" s="1" t="s">
        <v>689</v>
      </c>
      <c r="H1192" t="s">
        <v>71</v>
      </c>
      <c r="I1192">
        <v>1</v>
      </c>
      <c r="J1192" t="s">
        <v>229</v>
      </c>
      <c r="K1192" s="1" t="s">
        <v>120</v>
      </c>
      <c r="L1192" s="1" t="s">
        <v>162</v>
      </c>
      <c r="M1192">
        <v>27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ユニフォーム潜尚保ICONIC</v>
      </c>
    </row>
    <row r="1193" spans="1:20" x14ac:dyDescent="0.35">
      <c r="A1193">
        <f>VLOOKUP(Receive[[#This Row],[No用]],SetNo[[No.用]:[vlookup 用]],2,FALSE)</f>
        <v>206</v>
      </c>
      <c r="B1193" s="14">
        <f>IF(ROW()=2,1,IF(A1192&lt;&gt;Receive[[#This Row],[No]],1,B1192+1))</f>
        <v>4</v>
      </c>
      <c r="C1193" t="s">
        <v>108</v>
      </c>
      <c r="D1193" s="1" t="s">
        <v>858</v>
      </c>
      <c r="E1193" s="1" t="s">
        <v>90</v>
      </c>
      <c r="F1193" s="1" t="s">
        <v>78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164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ユニフォーム潜尚保ICONIC</v>
      </c>
    </row>
    <row r="1194" spans="1:20" x14ac:dyDescent="0.35">
      <c r="A1194">
        <f>VLOOKUP(Receive[[#This Row],[No用]],SetNo[[No.用]:[vlookup 用]],2,FALSE)</f>
        <v>206</v>
      </c>
      <c r="B1194" s="14">
        <f>IF(ROW()=2,1,IF(A1193&lt;&gt;Receive[[#This Row],[No]],1,B1193+1))</f>
        <v>5</v>
      </c>
      <c r="C1194" t="s">
        <v>108</v>
      </c>
      <c r="D1194" s="1" t="s">
        <v>858</v>
      </c>
      <c r="E1194" s="1" t="s">
        <v>90</v>
      </c>
      <c r="F1194" s="1" t="s">
        <v>78</v>
      </c>
      <c r="G1194" s="1" t="s">
        <v>689</v>
      </c>
      <c r="H1194" t="s">
        <v>71</v>
      </c>
      <c r="I1194">
        <v>1</v>
      </c>
      <c r="J1194" t="s">
        <v>229</v>
      </c>
      <c r="K1194" s="1" t="s">
        <v>165</v>
      </c>
      <c r="L1194" s="1" t="s">
        <v>162</v>
      </c>
      <c r="M1194">
        <v>13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ユニフォーム潜尚保ICONIC</v>
      </c>
    </row>
    <row r="1195" spans="1:20" x14ac:dyDescent="0.35">
      <c r="A1195">
        <f>VLOOKUP(Receive[[#This Row],[No用]],SetNo[[No.用]:[vlookup 用]],2,FALSE)</f>
        <v>207</v>
      </c>
      <c r="B1195" s="14">
        <f>IF(ROW()=2,1,IF(A1194&lt;&gt;Receive[[#This Row],[No]],1,B1194+1))</f>
        <v>1</v>
      </c>
      <c r="C1195" s="1" t="s">
        <v>1165</v>
      </c>
      <c r="D1195" s="1" t="s">
        <v>858</v>
      </c>
      <c r="E1195" s="1" t="s">
        <v>77</v>
      </c>
      <c r="F1195" s="1" t="s">
        <v>78</v>
      </c>
      <c r="G1195" s="1" t="s">
        <v>689</v>
      </c>
      <c r="H1195" s="1" t="s">
        <v>690</v>
      </c>
      <c r="I1195">
        <v>1</v>
      </c>
      <c r="J1195" t="s">
        <v>229</v>
      </c>
      <c r="K1195" s="1" t="s">
        <v>119</v>
      </c>
      <c r="L1195" s="1" t="s">
        <v>178</v>
      </c>
      <c r="M1195">
        <v>30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バーガー潜尚保ICONIC</v>
      </c>
    </row>
    <row r="1196" spans="1:20" x14ac:dyDescent="0.35">
      <c r="A1196">
        <f>VLOOKUP(Receive[[#This Row],[No用]],SetNo[[No.用]:[vlookup 用]],2,FALSE)</f>
        <v>207</v>
      </c>
      <c r="B1196" s="14">
        <f>IF(ROW()=2,1,IF(A1195&lt;&gt;Receive[[#This Row],[No]],1,B1195+1))</f>
        <v>2</v>
      </c>
      <c r="C1196" s="1" t="s">
        <v>1165</v>
      </c>
      <c r="D1196" s="1" t="s">
        <v>858</v>
      </c>
      <c r="E1196" s="1" t="s">
        <v>77</v>
      </c>
      <c r="F1196" s="1" t="s">
        <v>78</v>
      </c>
      <c r="G1196" s="1" t="s">
        <v>689</v>
      </c>
      <c r="H1196" s="1" t="s">
        <v>690</v>
      </c>
      <c r="I1196">
        <v>1</v>
      </c>
      <c r="J1196" t="s">
        <v>229</v>
      </c>
      <c r="K1196" s="1" t="s">
        <v>163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バーガー潜尚保ICONIC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3</v>
      </c>
      <c r="C1197" s="1" t="s">
        <v>1165</v>
      </c>
      <c r="D1197" s="1" t="s">
        <v>858</v>
      </c>
      <c r="E1197" s="1" t="s">
        <v>77</v>
      </c>
      <c r="F1197" s="1" t="s">
        <v>78</v>
      </c>
      <c r="G1197" s="1" t="s">
        <v>689</v>
      </c>
      <c r="H1197" s="1" t="s">
        <v>690</v>
      </c>
      <c r="I1197">
        <v>1</v>
      </c>
      <c r="J1197" t="s">
        <v>229</v>
      </c>
      <c r="K1197" s="1" t="s">
        <v>120</v>
      </c>
      <c r="L1197" s="1" t="s">
        <v>178</v>
      </c>
      <c r="M1197">
        <v>30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バーガー潜尚保ICONIC</v>
      </c>
    </row>
    <row r="1198" spans="1:20" x14ac:dyDescent="0.35">
      <c r="A1198">
        <f>VLOOKUP(Receive[[#This Row],[No用]],SetNo[[No.用]:[vlookup 用]],2,FALSE)</f>
        <v>207</v>
      </c>
      <c r="B1198" s="14">
        <f>IF(ROW()=2,1,IF(A1197&lt;&gt;Receive[[#This Row],[No]],1,B1197+1))</f>
        <v>4</v>
      </c>
      <c r="C1198" s="1" t="s">
        <v>1165</v>
      </c>
      <c r="D1198" s="1" t="s">
        <v>858</v>
      </c>
      <c r="E1198" s="1" t="s">
        <v>77</v>
      </c>
      <c r="F1198" s="1" t="s">
        <v>78</v>
      </c>
      <c r="G1198" s="1" t="s">
        <v>689</v>
      </c>
      <c r="H1198" s="1" t="s">
        <v>690</v>
      </c>
      <c r="I1198">
        <v>1</v>
      </c>
      <c r="J1198" t="s">
        <v>229</v>
      </c>
      <c r="K1198" s="1" t="s">
        <v>164</v>
      </c>
      <c r="L1198" s="1" t="s">
        <v>162</v>
      </c>
      <c r="M1198">
        <v>27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バーガー潜尚保ICONIC</v>
      </c>
    </row>
    <row r="1199" spans="1:20" x14ac:dyDescent="0.35">
      <c r="A1199">
        <f>VLOOKUP(Receive[[#This Row],[No用]],SetNo[[No.用]:[vlookup 用]],2,FALSE)</f>
        <v>207</v>
      </c>
      <c r="B1199" s="14">
        <f>IF(ROW()=2,1,IF(A1198&lt;&gt;Receive[[#This Row],[No]],1,B1198+1))</f>
        <v>5</v>
      </c>
      <c r="C1199" s="1" t="s">
        <v>1165</v>
      </c>
      <c r="D1199" s="1" t="s">
        <v>858</v>
      </c>
      <c r="E1199" s="1" t="s">
        <v>77</v>
      </c>
      <c r="F1199" s="1" t="s">
        <v>78</v>
      </c>
      <c r="G1199" s="1" t="s">
        <v>689</v>
      </c>
      <c r="H1199" s="1" t="s">
        <v>690</v>
      </c>
      <c r="I1199">
        <v>1</v>
      </c>
      <c r="J1199" t="s">
        <v>229</v>
      </c>
      <c r="K1199" s="1" t="s">
        <v>165</v>
      </c>
      <c r="L1199" s="1" t="s">
        <v>162</v>
      </c>
      <c r="M1199">
        <v>13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バーガー潜尚保ICONIC</v>
      </c>
    </row>
    <row r="1200" spans="1:20" x14ac:dyDescent="0.35">
      <c r="A1200">
        <f>VLOOKUP(Receive[[#This Row],[No用]],SetNo[[No.用]:[vlookup 用]],2,FALSE)</f>
        <v>207</v>
      </c>
      <c r="B1200" s="14">
        <f>IF(ROW()=2,1,IF(A1199&lt;&gt;Receive[[#This Row],[No]],1,B1199+1))</f>
        <v>6</v>
      </c>
      <c r="C1200" s="1" t="s">
        <v>1165</v>
      </c>
      <c r="D1200" s="1" t="s">
        <v>858</v>
      </c>
      <c r="E1200" s="1" t="s">
        <v>77</v>
      </c>
      <c r="F1200" s="1" t="s">
        <v>78</v>
      </c>
      <c r="G1200" s="1" t="s">
        <v>689</v>
      </c>
      <c r="H1200" s="1" t="s">
        <v>690</v>
      </c>
      <c r="I1200">
        <v>1</v>
      </c>
      <c r="J1200" t="s">
        <v>229</v>
      </c>
      <c r="K1200" s="1" t="s">
        <v>183</v>
      </c>
      <c r="L1200" s="1" t="s">
        <v>225</v>
      </c>
      <c r="M1200">
        <v>43</v>
      </c>
      <c r="N1200">
        <v>0</v>
      </c>
      <c r="O1200">
        <v>53</v>
      </c>
      <c r="P1200">
        <v>0</v>
      </c>
      <c r="T1200" t="str">
        <f>Receive[[#This Row],[服装]]&amp;Receive[[#This Row],[名前]]&amp;Receive[[#This Row],[レアリティ]]</f>
        <v>バーガー潜尚保ICONIC</v>
      </c>
    </row>
    <row r="1201" spans="1:20" x14ac:dyDescent="0.35">
      <c r="A1201">
        <f>VLOOKUP(Receive[[#This Row],[No用]],SetNo[[No.用]:[vlookup 用]],2,FALSE)</f>
        <v>208</v>
      </c>
      <c r="B1201" s="14">
        <f>IF(ROW()=2,1,IF(A1200&lt;&gt;Receive[[#This Row],[No]],1,B1200+1))</f>
        <v>1</v>
      </c>
      <c r="C1201" t="s">
        <v>108</v>
      </c>
      <c r="D1201" s="1" t="s">
        <v>860</v>
      </c>
      <c r="E1201" s="1" t="s">
        <v>90</v>
      </c>
      <c r="F1201" s="1" t="s">
        <v>78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119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ユニフォーム高千穂恵也ICONIC</v>
      </c>
    </row>
    <row r="1202" spans="1:20" x14ac:dyDescent="0.35">
      <c r="A1202">
        <f>VLOOKUP(Receive[[#This Row],[No用]],SetNo[[No.用]:[vlookup 用]],2,FALSE)</f>
        <v>208</v>
      </c>
      <c r="B1202" s="14">
        <f>IF(ROW()=2,1,IF(A1201&lt;&gt;Receive[[#This Row],[No]],1,B1201+1))</f>
        <v>2</v>
      </c>
      <c r="C1202" t="s">
        <v>108</v>
      </c>
      <c r="D1202" s="1" t="s">
        <v>860</v>
      </c>
      <c r="E1202" s="1" t="s">
        <v>90</v>
      </c>
      <c r="F1202" s="1" t="s">
        <v>78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195</v>
      </c>
      <c r="L1202" s="1" t="s">
        <v>178</v>
      </c>
      <c r="M1202">
        <v>29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ユニフォーム高千穂恵也ICONIC</v>
      </c>
    </row>
    <row r="1203" spans="1:20" x14ac:dyDescent="0.35">
      <c r="A1203">
        <f>VLOOKUP(Receive[[#This Row],[No用]],SetNo[[No.用]:[vlookup 用]],2,FALSE)</f>
        <v>208</v>
      </c>
      <c r="B1203" s="14">
        <f>IF(ROW()=2,1,IF(A1202&lt;&gt;Receive[[#This Row],[No]],1,B1202+1))</f>
        <v>3</v>
      </c>
      <c r="C1203" t="s">
        <v>108</v>
      </c>
      <c r="D1203" s="1" t="s">
        <v>860</v>
      </c>
      <c r="E1203" s="1" t="s">
        <v>90</v>
      </c>
      <c r="F1203" s="1" t="s">
        <v>78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163</v>
      </c>
      <c r="L1203" s="1" t="s">
        <v>162</v>
      </c>
      <c r="M1203">
        <v>26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ユニフォーム高千穂恵也ICONIC</v>
      </c>
    </row>
    <row r="1204" spans="1:20" x14ac:dyDescent="0.35">
      <c r="A1204">
        <f>VLOOKUP(Receive[[#This Row],[No用]],SetNo[[No.用]:[vlookup 用]],2,FALSE)</f>
        <v>208</v>
      </c>
      <c r="B1204" s="14">
        <f>IF(ROW()=2,1,IF(A1203&lt;&gt;Receive[[#This Row],[No]],1,B1203+1))</f>
        <v>4</v>
      </c>
      <c r="C1204" t="s">
        <v>108</v>
      </c>
      <c r="D1204" s="1" t="s">
        <v>860</v>
      </c>
      <c r="E1204" s="1" t="s">
        <v>90</v>
      </c>
      <c r="F1204" s="1" t="s">
        <v>78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120</v>
      </c>
      <c r="L1204" s="1" t="s">
        <v>162</v>
      </c>
      <c r="M1204">
        <v>26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ユニフォーム高千穂恵也ICONIC</v>
      </c>
    </row>
    <row r="1205" spans="1:20" x14ac:dyDescent="0.35">
      <c r="A1205">
        <f>VLOOKUP(Receive[[#This Row],[No用]],SetNo[[No.用]:[vlookup 用]],2,FALSE)</f>
        <v>208</v>
      </c>
      <c r="B1205" s="14">
        <f>IF(ROW()=2,1,IF(A1204&lt;&gt;Receive[[#This Row],[No]],1,B1204+1))</f>
        <v>5</v>
      </c>
      <c r="C1205" t="s">
        <v>108</v>
      </c>
      <c r="D1205" s="1" t="s">
        <v>860</v>
      </c>
      <c r="E1205" s="1" t="s">
        <v>90</v>
      </c>
      <c r="F1205" s="1" t="s">
        <v>78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164</v>
      </c>
      <c r="L1205" s="1" t="s">
        <v>162</v>
      </c>
      <c r="M1205">
        <v>26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ユニフォーム高千穂恵也ICONIC</v>
      </c>
    </row>
    <row r="1206" spans="1:20" x14ac:dyDescent="0.35">
      <c r="A1206">
        <f>VLOOKUP(Receive[[#This Row],[No用]],SetNo[[No.用]:[vlookup 用]],2,FALSE)</f>
        <v>208</v>
      </c>
      <c r="B1206" s="14">
        <f>IF(ROW()=2,1,IF(A1205&lt;&gt;Receive[[#This Row],[No]],1,B1205+1))</f>
        <v>6</v>
      </c>
      <c r="C1206" t="s">
        <v>108</v>
      </c>
      <c r="D1206" s="1" t="s">
        <v>860</v>
      </c>
      <c r="E1206" s="1" t="s">
        <v>90</v>
      </c>
      <c r="F1206" s="1" t="s">
        <v>78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165</v>
      </c>
      <c r="L1206" s="1" t="s">
        <v>162</v>
      </c>
      <c r="M1206">
        <v>13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ユニフォーム高千穂恵也ICONIC</v>
      </c>
    </row>
    <row r="1207" spans="1:20" x14ac:dyDescent="0.35">
      <c r="A1207">
        <f>VLOOKUP(Receive[[#This Row],[No用]],SetNo[[No.用]:[vlookup 用]],2,FALSE)</f>
        <v>209</v>
      </c>
      <c r="B1207" s="14">
        <f>IF(ROW()=2,1,IF(A1206&lt;&gt;Receive[[#This Row],[No]],1,B1206+1))</f>
        <v>1</v>
      </c>
      <c r="C1207" t="s">
        <v>108</v>
      </c>
      <c r="D1207" s="1" t="s">
        <v>862</v>
      </c>
      <c r="E1207" s="1" t="s">
        <v>90</v>
      </c>
      <c r="F1207" s="1" t="s">
        <v>82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119</v>
      </c>
      <c r="L1207" s="1" t="s">
        <v>178</v>
      </c>
      <c r="M1207">
        <v>31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ユニフォーム広尾倖児ICONIC</v>
      </c>
    </row>
    <row r="1208" spans="1:20" x14ac:dyDescent="0.35">
      <c r="A1208">
        <f>VLOOKUP(Receive[[#This Row],[No用]],SetNo[[No.用]:[vlookup 用]],2,FALSE)</f>
        <v>209</v>
      </c>
      <c r="B1208" s="14">
        <f>IF(ROW()=2,1,IF(A1207&lt;&gt;Receive[[#This Row],[No]],1,B1207+1))</f>
        <v>2</v>
      </c>
      <c r="C1208" t="s">
        <v>108</v>
      </c>
      <c r="D1208" s="1" t="s">
        <v>862</v>
      </c>
      <c r="E1208" s="1" t="s">
        <v>90</v>
      </c>
      <c r="F1208" s="1" t="s">
        <v>82</v>
      </c>
      <c r="G1208" s="1" t="s">
        <v>689</v>
      </c>
      <c r="H1208" t="s">
        <v>71</v>
      </c>
      <c r="I1208">
        <v>1</v>
      </c>
      <c r="J1208" t="s">
        <v>229</v>
      </c>
      <c r="K1208" s="1" t="s">
        <v>231</v>
      </c>
      <c r="L1208" s="1" t="s">
        <v>162</v>
      </c>
      <c r="M1208">
        <v>28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ユニフォーム広尾倖児ICONIC</v>
      </c>
    </row>
    <row r="1209" spans="1:20" x14ac:dyDescent="0.35">
      <c r="A1209">
        <f>VLOOKUP(Receive[[#This Row],[No用]],SetNo[[No.用]:[vlookup 用]],2,FALSE)</f>
        <v>209</v>
      </c>
      <c r="B1209" s="14">
        <f>IF(ROW()=2,1,IF(A1208&lt;&gt;Receive[[#This Row],[No]],1,B1208+1))</f>
        <v>3</v>
      </c>
      <c r="C1209" t="s">
        <v>108</v>
      </c>
      <c r="D1209" s="1" t="s">
        <v>862</v>
      </c>
      <c r="E1209" s="1" t="s">
        <v>90</v>
      </c>
      <c r="F1209" s="1" t="s">
        <v>82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120</v>
      </c>
      <c r="L1209" s="1" t="s">
        <v>162</v>
      </c>
      <c r="M1209">
        <v>28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ユニフォーム広尾倖児ICONIC</v>
      </c>
    </row>
    <row r="1210" spans="1:20" x14ac:dyDescent="0.35">
      <c r="A1210">
        <f>VLOOKUP(Receive[[#This Row],[No用]],SetNo[[No.用]:[vlookup 用]],2,FALSE)</f>
        <v>209</v>
      </c>
      <c r="B1210" s="14">
        <f>IF(ROW()=2,1,IF(A1209&lt;&gt;Receive[[#This Row],[No]],1,B1209+1))</f>
        <v>4</v>
      </c>
      <c r="C1210" t="s">
        <v>108</v>
      </c>
      <c r="D1210" s="1" t="s">
        <v>862</v>
      </c>
      <c r="E1210" s="1" t="s">
        <v>90</v>
      </c>
      <c r="F1210" s="1" t="s">
        <v>82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164</v>
      </c>
      <c r="L1210" s="1" t="s">
        <v>162</v>
      </c>
      <c r="M1210">
        <v>28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ユニフォーム広尾倖児ICONIC</v>
      </c>
    </row>
    <row r="1211" spans="1:20" x14ac:dyDescent="0.35">
      <c r="A1211">
        <f>VLOOKUP(Receive[[#This Row],[No用]],SetNo[[No.用]:[vlookup 用]],2,FALSE)</f>
        <v>209</v>
      </c>
      <c r="B1211" s="14">
        <f>IF(ROW()=2,1,IF(A1210&lt;&gt;Receive[[#This Row],[No]],1,B1210+1))</f>
        <v>5</v>
      </c>
      <c r="C1211" t="s">
        <v>108</v>
      </c>
      <c r="D1211" s="1" t="s">
        <v>862</v>
      </c>
      <c r="E1211" s="1" t="s">
        <v>90</v>
      </c>
      <c r="F1211" s="1" t="s">
        <v>82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165</v>
      </c>
      <c r="L1211" s="1" t="s">
        <v>162</v>
      </c>
      <c r="M1211">
        <v>13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ユニフォーム広尾倖児ICONIC</v>
      </c>
    </row>
    <row r="1212" spans="1:20" x14ac:dyDescent="0.35">
      <c r="A1212">
        <f>VLOOKUP(Receive[[#This Row],[No用]],SetNo[[No.用]:[vlookup 用]],2,FALSE)</f>
        <v>210</v>
      </c>
      <c r="B1212" s="14">
        <f>IF(ROW()=2,1,IF(A1211&lt;&gt;Receive[[#This Row],[No]],1,B1211+1))</f>
        <v>1</v>
      </c>
      <c r="C1212" t="s">
        <v>108</v>
      </c>
      <c r="D1212" s="1" t="s">
        <v>864</v>
      </c>
      <c r="E1212" s="1" t="s">
        <v>90</v>
      </c>
      <c r="F1212" s="1" t="s">
        <v>74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119</v>
      </c>
      <c r="L1212" s="1" t="s">
        <v>162</v>
      </c>
      <c r="M1212">
        <v>27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ユニフォーム先島伊澄ICONIC</v>
      </c>
    </row>
    <row r="1213" spans="1:20" x14ac:dyDescent="0.35">
      <c r="A1213">
        <f>VLOOKUP(Receive[[#This Row],[No用]],SetNo[[No.用]:[vlookup 用]],2,FALSE)</f>
        <v>210</v>
      </c>
      <c r="B1213" s="14">
        <f>IF(ROW()=2,1,IF(A1212&lt;&gt;Receive[[#This Row],[No]],1,B1212+1))</f>
        <v>2</v>
      </c>
      <c r="C1213" t="s">
        <v>108</v>
      </c>
      <c r="D1213" s="1" t="s">
        <v>864</v>
      </c>
      <c r="E1213" s="1" t="s">
        <v>90</v>
      </c>
      <c r="F1213" s="1" t="s">
        <v>74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163</v>
      </c>
      <c r="L1213" s="1" t="s">
        <v>162</v>
      </c>
      <c r="M1213">
        <v>27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ユニフォーム先島伊澄ICONIC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3</v>
      </c>
      <c r="C1214" t="s">
        <v>108</v>
      </c>
      <c r="D1214" s="1" t="s">
        <v>864</v>
      </c>
      <c r="E1214" s="1" t="s">
        <v>90</v>
      </c>
      <c r="F1214" s="1" t="s">
        <v>74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120</v>
      </c>
      <c r="L1214" s="1" t="s">
        <v>162</v>
      </c>
      <c r="M1214">
        <v>27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ユニフォーム先島伊澄ICONIC</v>
      </c>
    </row>
    <row r="1215" spans="1:20" x14ac:dyDescent="0.35">
      <c r="A1215">
        <f>VLOOKUP(Receive[[#This Row],[No用]],SetNo[[No.用]:[vlookup 用]],2,FALSE)</f>
        <v>210</v>
      </c>
      <c r="B1215" s="14">
        <f>IF(ROW()=2,1,IF(A1214&lt;&gt;Receive[[#This Row],[No]],1,B1214+1))</f>
        <v>4</v>
      </c>
      <c r="C1215" t="s">
        <v>108</v>
      </c>
      <c r="D1215" s="1" t="s">
        <v>864</v>
      </c>
      <c r="E1215" s="1" t="s">
        <v>90</v>
      </c>
      <c r="F1215" s="1" t="s">
        <v>74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164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ユニフォーム先島伊澄ICONIC</v>
      </c>
    </row>
    <row r="1216" spans="1:20" x14ac:dyDescent="0.35">
      <c r="A1216">
        <f>VLOOKUP(Receive[[#This Row],[No用]],SetNo[[No.用]:[vlookup 用]],2,FALSE)</f>
        <v>210</v>
      </c>
      <c r="B1216" s="14">
        <f>IF(ROW()=2,1,IF(A1215&lt;&gt;Receive[[#This Row],[No]],1,B1215+1))</f>
        <v>5</v>
      </c>
      <c r="C1216" t="s">
        <v>108</v>
      </c>
      <c r="D1216" s="1" t="s">
        <v>864</v>
      </c>
      <c r="E1216" s="1" t="s">
        <v>90</v>
      </c>
      <c r="F1216" s="1" t="s">
        <v>74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165</v>
      </c>
      <c r="L1216" s="1" t="s">
        <v>162</v>
      </c>
      <c r="M1216">
        <v>13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ユニフォーム先島伊澄ICONIC</v>
      </c>
    </row>
    <row r="1217" spans="1:20" x14ac:dyDescent="0.35">
      <c r="A1217">
        <f>VLOOKUP(Receive[[#This Row],[No用]],SetNo[[No.用]:[vlookup 用]],2,FALSE)</f>
        <v>211</v>
      </c>
      <c r="B1217" s="14">
        <f>IF(ROW()=2,1,IF(A1216&lt;&gt;Receive[[#This Row],[No]],1,B1216+1))</f>
        <v>1</v>
      </c>
      <c r="C1217" t="s">
        <v>108</v>
      </c>
      <c r="D1217" s="1" t="s">
        <v>866</v>
      </c>
      <c r="E1217" s="1" t="s">
        <v>90</v>
      </c>
      <c r="F1217" s="1" t="s">
        <v>82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119</v>
      </c>
      <c r="L1217" s="1" t="s">
        <v>162</v>
      </c>
      <c r="M1217">
        <v>26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ユニフォーム背黒晃彦ICONIC</v>
      </c>
    </row>
    <row r="1218" spans="1:20" x14ac:dyDescent="0.35">
      <c r="A1218">
        <f>VLOOKUP(Receive[[#This Row],[No用]],SetNo[[No.用]:[vlookup 用]],2,FALSE)</f>
        <v>211</v>
      </c>
      <c r="B1218" s="14">
        <f>IF(ROW()=2,1,IF(A1217&lt;&gt;Receive[[#This Row],[No]],1,B1217+1))</f>
        <v>2</v>
      </c>
      <c r="C1218" t="s">
        <v>108</v>
      </c>
      <c r="D1218" s="1" t="s">
        <v>866</v>
      </c>
      <c r="E1218" s="1" t="s">
        <v>90</v>
      </c>
      <c r="F1218" s="1" t="s">
        <v>82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163</v>
      </c>
      <c r="L1218" s="1" t="s">
        <v>162</v>
      </c>
      <c r="M1218">
        <v>26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ユニフォーム背黒晃彦ICONIC</v>
      </c>
    </row>
    <row r="1219" spans="1:20" x14ac:dyDescent="0.35">
      <c r="A1219">
        <f>VLOOKUP(Receive[[#This Row],[No用]],SetNo[[No.用]:[vlookup 用]],2,FALSE)</f>
        <v>211</v>
      </c>
      <c r="B1219" s="14">
        <f>IF(ROW()=2,1,IF(A1218&lt;&gt;Receive[[#This Row],[No]],1,B1218+1))</f>
        <v>3</v>
      </c>
      <c r="C1219" t="s">
        <v>108</v>
      </c>
      <c r="D1219" s="1" t="s">
        <v>866</v>
      </c>
      <c r="E1219" s="1" t="s">
        <v>90</v>
      </c>
      <c r="F1219" s="1" t="s">
        <v>82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120</v>
      </c>
      <c r="L1219" s="1" t="s">
        <v>162</v>
      </c>
      <c r="M1219">
        <v>26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ユニフォーム背黒晃彦ICONIC</v>
      </c>
    </row>
    <row r="1220" spans="1:20" x14ac:dyDescent="0.35">
      <c r="A1220">
        <f>VLOOKUP(Receive[[#This Row],[No用]],SetNo[[No.用]:[vlookup 用]],2,FALSE)</f>
        <v>211</v>
      </c>
      <c r="B1220" s="14">
        <f>IF(ROW()=2,1,IF(A1219&lt;&gt;Receive[[#This Row],[No]],1,B1219+1))</f>
        <v>4</v>
      </c>
      <c r="C1220" t="s">
        <v>108</v>
      </c>
      <c r="D1220" s="1" t="s">
        <v>866</v>
      </c>
      <c r="E1220" s="1" t="s">
        <v>90</v>
      </c>
      <c r="F1220" s="1" t="s">
        <v>82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164</v>
      </c>
      <c r="L1220" s="1" t="s">
        <v>162</v>
      </c>
      <c r="M1220">
        <v>26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ユニフォーム背黒晃彦ICONIC</v>
      </c>
    </row>
    <row r="1221" spans="1:20" x14ac:dyDescent="0.35">
      <c r="A1221">
        <f>VLOOKUP(Receive[[#This Row],[No用]],SetNo[[No.用]:[vlookup 用]],2,FALSE)</f>
        <v>211</v>
      </c>
      <c r="B1221" s="14">
        <f>IF(ROW()=2,1,IF(A1220&lt;&gt;Receive[[#This Row],[No]],1,B1220+1))</f>
        <v>5</v>
      </c>
      <c r="C1221" t="s">
        <v>108</v>
      </c>
      <c r="D1221" s="1" t="s">
        <v>866</v>
      </c>
      <c r="E1221" s="1" t="s">
        <v>90</v>
      </c>
      <c r="F1221" s="1" t="s">
        <v>82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165</v>
      </c>
      <c r="L1221" s="1" t="s">
        <v>162</v>
      </c>
      <c r="M1221">
        <v>13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ユニフォーム背黒晃彦ICONIC</v>
      </c>
    </row>
    <row r="1222" spans="1:20" x14ac:dyDescent="0.35">
      <c r="A1222">
        <f>VLOOKUP(Receive[[#This Row],[No用]],SetNo[[No.用]:[vlookup 用]],2,FALSE)</f>
        <v>212</v>
      </c>
      <c r="B1222" s="14">
        <f>IF(ROW()=2,1,IF(A1221&lt;&gt;Receive[[#This Row],[No]],1,B1221+1))</f>
        <v>1</v>
      </c>
      <c r="C1222" t="s">
        <v>108</v>
      </c>
      <c r="D1222" s="1" t="s">
        <v>868</v>
      </c>
      <c r="E1222" s="1" t="s">
        <v>90</v>
      </c>
      <c r="F1222" s="1" t="s">
        <v>80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119</v>
      </c>
      <c r="L1222" s="1" t="s">
        <v>173</v>
      </c>
      <c r="M1222">
        <v>37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ユニフォーム赤間颯ICONIC</v>
      </c>
    </row>
    <row r="1223" spans="1:20" x14ac:dyDescent="0.35">
      <c r="A1223">
        <f>VLOOKUP(Receive[[#This Row],[No用]],SetNo[[No.用]:[vlookup 用]],2,FALSE)</f>
        <v>212</v>
      </c>
      <c r="B1223" s="14">
        <f>IF(ROW()=2,1,IF(A1222&lt;&gt;Receive[[#This Row],[No]],1,B1222+1))</f>
        <v>2</v>
      </c>
      <c r="C1223" t="s">
        <v>108</v>
      </c>
      <c r="D1223" s="1" t="s">
        <v>868</v>
      </c>
      <c r="E1223" s="1" t="s">
        <v>90</v>
      </c>
      <c r="F1223" s="1" t="s">
        <v>80</v>
      </c>
      <c r="G1223" s="1" t="s">
        <v>689</v>
      </c>
      <c r="H1223" t="s">
        <v>71</v>
      </c>
      <c r="I1223">
        <v>1</v>
      </c>
      <c r="J1223" t="s">
        <v>229</v>
      </c>
      <c r="K1223" s="1" t="s">
        <v>195</v>
      </c>
      <c r="L1223" s="1" t="s">
        <v>178</v>
      </c>
      <c r="M1223">
        <v>39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ユニフォーム赤間颯ICONIC</v>
      </c>
    </row>
    <row r="1224" spans="1:20" x14ac:dyDescent="0.35">
      <c r="A1224">
        <f>VLOOKUP(Receive[[#This Row],[No用]],SetNo[[No.用]:[vlookup 用]],2,FALSE)</f>
        <v>212</v>
      </c>
      <c r="B1224" s="14">
        <f>IF(ROW()=2,1,IF(A1223&lt;&gt;Receive[[#This Row],[No]],1,B1223+1))</f>
        <v>3</v>
      </c>
      <c r="C1224" t="s">
        <v>108</v>
      </c>
      <c r="D1224" s="1" t="s">
        <v>868</v>
      </c>
      <c r="E1224" s="1" t="s">
        <v>90</v>
      </c>
      <c r="F1224" s="1" t="s">
        <v>80</v>
      </c>
      <c r="G1224" s="1" t="s">
        <v>689</v>
      </c>
      <c r="H1224" t="s">
        <v>71</v>
      </c>
      <c r="I1224">
        <v>1</v>
      </c>
      <c r="J1224" t="s">
        <v>229</v>
      </c>
      <c r="K1224" s="1" t="s">
        <v>163</v>
      </c>
      <c r="L1224" s="1" t="s">
        <v>162</v>
      </c>
      <c r="M1224">
        <v>34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ユニフォーム赤間颯ICONIC</v>
      </c>
    </row>
    <row r="1225" spans="1:20" x14ac:dyDescent="0.35">
      <c r="A1225">
        <f>VLOOKUP(Receive[[#This Row],[No用]],SetNo[[No.用]:[vlookup 用]],2,FALSE)</f>
        <v>212</v>
      </c>
      <c r="B1225" s="14">
        <f>IF(ROW()=2,1,IF(A1224&lt;&gt;Receive[[#This Row],[No]],1,B1224+1))</f>
        <v>4</v>
      </c>
      <c r="C1225" t="s">
        <v>108</v>
      </c>
      <c r="D1225" s="1" t="s">
        <v>868</v>
      </c>
      <c r="E1225" s="1" t="s">
        <v>90</v>
      </c>
      <c r="F1225" s="1" t="s">
        <v>80</v>
      </c>
      <c r="G1225" s="1" t="s">
        <v>689</v>
      </c>
      <c r="H1225" t="s">
        <v>71</v>
      </c>
      <c r="I1225">
        <v>1</v>
      </c>
      <c r="J1225" t="s">
        <v>229</v>
      </c>
      <c r="K1225" s="1" t="s">
        <v>231</v>
      </c>
      <c r="L1225" s="1" t="s">
        <v>162</v>
      </c>
      <c r="M1225">
        <v>34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ユニフォーム赤間颯ICONIC</v>
      </c>
    </row>
    <row r="1226" spans="1:20" x14ac:dyDescent="0.35">
      <c r="A1226">
        <f>VLOOKUP(Receive[[#This Row],[No用]],SetNo[[No.用]:[vlookup 用]],2,FALSE)</f>
        <v>212</v>
      </c>
      <c r="B1226" s="14">
        <f>IF(ROW()=2,1,IF(A1225&lt;&gt;Receive[[#This Row],[No]],1,B1225+1))</f>
        <v>5</v>
      </c>
      <c r="C1226" t="s">
        <v>108</v>
      </c>
      <c r="D1226" s="1" t="s">
        <v>868</v>
      </c>
      <c r="E1226" s="1" t="s">
        <v>90</v>
      </c>
      <c r="F1226" s="1" t="s">
        <v>80</v>
      </c>
      <c r="G1226" s="1" t="s">
        <v>689</v>
      </c>
      <c r="H1226" t="s">
        <v>71</v>
      </c>
      <c r="I1226">
        <v>1</v>
      </c>
      <c r="J1226" t="s">
        <v>229</v>
      </c>
      <c r="K1226" s="1" t="s">
        <v>120</v>
      </c>
      <c r="L1226" s="1" t="s">
        <v>173</v>
      </c>
      <c r="M1226">
        <v>37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ユニフォーム赤間颯ICONIC</v>
      </c>
    </row>
    <row r="1227" spans="1:20" x14ac:dyDescent="0.35">
      <c r="A1227">
        <f>VLOOKUP(Receive[[#This Row],[No用]],SetNo[[No.用]:[vlookup 用]],2,FALSE)</f>
        <v>212</v>
      </c>
      <c r="B1227" s="14">
        <f>IF(ROW()=2,1,IF(A1226&lt;&gt;Receive[[#This Row],[No]],1,B1226+1))</f>
        <v>6</v>
      </c>
      <c r="C1227" t="s">
        <v>108</v>
      </c>
      <c r="D1227" s="1" t="s">
        <v>868</v>
      </c>
      <c r="E1227" s="1" t="s">
        <v>90</v>
      </c>
      <c r="F1227" s="1" t="s">
        <v>80</v>
      </c>
      <c r="G1227" s="1" t="s">
        <v>689</v>
      </c>
      <c r="H1227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34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ユニフォーム赤間颯ICONIC</v>
      </c>
    </row>
    <row r="1228" spans="1:20" x14ac:dyDescent="0.35">
      <c r="A1228">
        <f>VLOOKUP(Receive[[#This Row],[No用]],SetNo[[No.用]:[vlookup 用]],2,FALSE)</f>
        <v>212</v>
      </c>
      <c r="B1228" s="14">
        <f>IF(ROW()=2,1,IF(A1227&lt;&gt;Receive[[#This Row],[No]],1,B1227+1))</f>
        <v>7</v>
      </c>
      <c r="C1228" t="s">
        <v>108</v>
      </c>
      <c r="D1228" s="1" t="s">
        <v>868</v>
      </c>
      <c r="E1228" s="1" t="s">
        <v>90</v>
      </c>
      <c r="F1228" s="1" t="s">
        <v>80</v>
      </c>
      <c r="G1228" s="1" t="s">
        <v>689</v>
      </c>
      <c r="H1228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ユニフォーム赤間颯ICONIC</v>
      </c>
    </row>
    <row r="1229" spans="1:20" x14ac:dyDescent="0.35">
      <c r="A1229">
        <f>VLOOKUP(Receive[[#This Row],[No用]],SetNo[[No.用]:[vlookup 用]],2,FALSE)</f>
        <v>212</v>
      </c>
      <c r="B1229" s="14">
        <f>IF(ROW()=2,1,IF(A1228&lt;&gt;Receive[[#This Row],[No]],1,B1228+1))</f>
        <v>8</v>
      </c>
      <c r="C1229" t="s">
        <v>108</v>
      </c>
      <c r="D1229" s="1" t="s">
        <v>868</v>
      </c>
      <c r="E1229" s="1" t="s">
        <v>90</v>
      </c>
      <c r="F1229" s="1" t="s">
        <v>80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183</v>
      </c>
      <c r="L1229" s="1" t="s">
        <v>225</v>
      </c>
      <c r="M1229">
        <v>50</v>
      </c>
      <c r="N1229">
        <v>0</v>
      </c>
      <c r="O1229">
        <v>61</v>
      </c>
      <c r="P1229">
        <v>0</v>
      </c>
      <c r="T122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04"/>
  <sheetViews>
    <sheetView topLeftCell="A475" workbookViewId="0">
      <selection activeCell="A503" sqref="A502:XFD503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ユニフォーム東峰旭ICONIC</v>
      </c>
    </row>
    <row r="106" spans="1:20" x14ac:dyDescent="0.35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プール掃除東峰旭ICONIC</v>
      </c>
    </row>
    <row r="108" spans="1:20" x14ac:dyDescent="0.35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サバゲ東峰旭ICONIC</v>
      </c>
    </row>
    <row r="110" spans="1:20" x14ac:dyDescent="0.35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166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232</v>
      </c>
      <c r="K111" t="s">
        <v>167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ユニフォーム東峰旭YELL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206</v>
      </c>
      <c r="D112" t="s">
        <v>146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s="1" t="s">
        <v>1071</v>
      </c>
      <c r="D114" s="1" t="s">
        <v>146</v>
      </c>
      <c r="E114" s="1" t="s">
        <v>73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RPG縁下力ICONIC</v>
      </c>
    </row>
    <row r="115" spans="1:20" x14ac:dyDescent="0.35">
      <c r="A115">
        <f>VLOOKUP(Toss[[#This Row],[No用]],SetNo[[No.用]:[vlookup 用]],2,FALSE)</f>
        <v>39</v>
      </c>
      <c r="B115">
        <f>IF(ROW()=2,1,IF(A114&lt;&gt;Toss[[#This Row],[No]],1,B114+1))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20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ユニフォーム木下久志ICONIC</v>
      </c>
    </row>
    <row r="117" spans="1:20" x14ac:dyDescent="0.35">
      <c r="A117">
        <f>VLOOKUP(Toss[[#This Row],[No用]],SetNo[[No.用]:[vlookup 用]],2,FALSE)</f>
        <v>40</v>
      </c>
      <c r="B117">
        <f>IF(ROW()=2,1,IF(A116&lt;&gt;Toss[[#This Row],[No]],1,B116+1))</f>
        <v>1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2</v>
      </c>
      <c r="C118" t="s">
        <v>206</v>
      </c>
      <c r="D118" t="s">
        <v>148</v>
      </c>
      <c r="E118" t="s">
        <v>24</v>
      </c>
      <c r="F118" t="s">
        <v>26</v>
      </c>
      <c r="G118" t="s">
        <v>136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ユニフォーム成田一仁ICONIC</v>
      </c>
    </row>
    <row r="119" spans="1:20" x14ac:dyDescent="0.35">
      <c r="A119">
        <f>VLOOKUP(Toss[[#This Row],[No用]],SetNo[[No.用]:[vlookup 用]],2,FALSE)</f>
        <v>41</v>
      </c>
      <c r="B119">
        <f>IF(ROW()=2,1,IF(A118&lt;&gt;Toss[[#This Row],[No]],1,B118+1))</f>
        <v>1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173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41</v>
      </c>
      <c r="B120">
        <f>IF(ROW()=2,1,IF(A119&lt;&gt;Toss[[#This Row],[No]],1,B119+1))</f>
        <v>2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169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41</v>
      </c>
      <c r="B121">
        <f>IF(ROW()=2,1,IF(A120&lt;&gt;Toss[[#This Row],[No]],1,B120+1))</f>
        <v>3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172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41</v>
      </c>
      <c r="B122">
        <f>IF(ROW()=2,1,IF(A121&lt;&gt;Toss[[#This Row],[No]],1,B121+1))</f>
        <v>4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233</v>
      </c>
      <c r="L122" t="s">
        <v>173</v>
      </c>
      <c r="M122">
        <v>33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41</v>
      </c>
      <c r="B123">
        <f>IF(ROW()=2,1,IF(A122&lt;&gt;Toss[[#This Row],[No]],1,B122+1))</f>
        <v>5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41</v>
      </c>
      <c r="B124">
        <f>IF(ROW()=2,1,IF(A123&lt;&gt;Toss[[#This Row],[No]],1,B123+1))</f>
        <v>6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7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42</v>
      </c>
      <c r="N125">
        <v>0</v>
      </c>
      <c r="O125">
        <v>52</v>
      </c>
      <c r="P125">
        <v>0</v>
      </c>
      <c r="Q125" s="1" t="s">
        <v>1017</v>
      </c>
      <c r="T125" t="str">
        <f>Toss[[#This Row],[服装]]&amp;Toss[[#This Row],[名前]]&amp;Toss[[#This Row],[レアリティ]]</f>
        <v>ユニフォーム孤爪研磨ICONIC</v>
      </c>
    </row>
    <row r="126" spans="1:20" x14ac:dyDescent="0.35">
      <c r="A126">
        <f>VLOOKUP(Toss[[#This Row],[No用]],SetNo[[No.用]:[vlookup 用]],2,FALSE)</f>
        <v>42</v>
      </c>
      <c r="B126">
        <f>IF(ROW()=2,1,IF(A125&lt;&gt;Toss[[#This Row],[No]],1,B125+1))</f>
        <v>1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276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2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169</v>
      </c>
      <c r="L127" t="s">
        <v>276</v>
      </c>
      <c r="M127">
        <v>31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3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172</v>
      </c>
      <c r="L128" t="s">
        <v>178</v>
      </c>
      <c r="M128">
        <v>32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4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5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6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Toss[[#This Row],[服装]]&amp;Toss[[#This Row],[名前]]&amp;Toss[[#This Row],[レアリティ]]</f>
        <v>制服孤爪研磨ICONIC</v>
      </c>
    </row>
    <row r="132" spans="1:20" x14ac:dyDescent="0.35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169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172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233</v>
      </c>
      <c r="L135" t="s">
        <v>162</v>
      </c>
      <c r="M135">
        <v>30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5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6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7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183</v>
      </c>
      <c r="L138" t="s">
        <v>225</v>
      </c>
      <c r="M138">
        <v>42</v>
      </c>
      <c r="N138">
        <v>0</v>
      </c>
      <c r="O138">
        <v>52</v>
      </c>
      <c r="P138">
        <v>0</v>
      </c>
      <c r="Q138" s="1" t="s">
        <v>1017</v>
      </c>
      <c r="T138" t="str">
        <f>Toss[[#This Row],[服装]]&amp;Toss[[#This Row],[名前]]&amp;Toss[[#This Row],[レアリティ]]</f>
        <v>夏祭り孤爪研磨ICONIC</v>
      </c>
    </row>
    <row r="139" spans="1:20" x14ac:dyDescent="0.35">
      <c r="A139">
        <f>VLOOKUP(Toss[[#This Row],[No用]],SetNo[[No.用]:[vlookup 用]],2,FALSE)</f>
        <v>44</v>
      </c>
      <c r="B139">
        <f>IF(ROW()=2,1,IF(A138&lt;&gt;Toss[[#This Row],[No]],1,B138+1))</f>
        <v>1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166</v>
      </c>
      <c r="L139" s="1" t="s">
        <v>173</v>
      </c>
      <c r="M139">
        <v>30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2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169</v>
      </c>
      <c r="L140" s="1" t="s">
        <v>173</v>
      </c>
      <c r="M140">
        <v>31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3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181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4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172</v>
      </c>
      <c r="L142" s="1" t="s">
        <v>178</v>
      </c>
      <c r="M142">
        <v>34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5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233</v>
      </c>
      <c r="L143" s="1" t="s">
        <v>173</v>
      </c>
      <c r="M143">
        <v>33</v>
      </c>
      <c r="N143">
        <v>0</v>
      </c>
      <c r="O143">
        <v>0</v>
      </c>
      <c r="P143">
        <v>0</v>
      </c>
      <c r="Q143" s="1"/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6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 t="s">
        <v>1017</v>
      </c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7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232</v>
      </c>
      <c r="K145" s="1" t="s">
        <v>183</v>
      </c>
      <c r="L145" s="1" t="s">
        <v>225</v>
      </c>
      <c r="M145">
        <v>42</v>
      </c>
      <c r="N145">
        <v>0</v>
      </c>
      <c r="O145">
        <v>52</v>
      </c>
      <c r="P145">
        <v>0</v>
      </c>
      <c r="Q145" s="1"/>
      <c r="T145" t="str">
        <f>Toss[[#This Row],[服装]]&amp;Toss[[#This Row],[名前]]&amp;Toss[[#This Row],[レアリティ]]</f>
        <v>1周年孤爪研磨ICONIC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ユニフォーム黒尾鉄朗ICONIC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1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2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制服黒尾鉄朗ICONIC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夏祭り黒尾鉄朗ICONIC</v>
      </c>
    </row>
    <row r="152" spans="1:20" x14ac:dyDescent="0.3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s="1" t="s">
        <v>1001</v>
      </c>
      <c r="D153" s="1" t="s">
        <v>40</v>
      </c>
      <c r="E153" s="1" t="s">
        <v>77</v>
      </c>
      <c r="F153" s="1" t="s">
        <v>26</v>
      </c>
      <c r="G153" s="1" t="s">
        <v>27</v>
      </c>
      <c r="H153" s="1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1周年黒尾鉄朗ICONIC</v>
      </c>
    </row>
    <row r="154" spans="1:20" x14ac:dyDescent="0.35">
      <c r="A154">
        <f>VLOOKUP(Toss[[#This Row],[No用]],SetNo[[No.用]:[vlookup 用]],2,FALSE)</f>
        <v>49</v>
      </c>
      <c r="B154">
        <f>IF(ROW()=2,1,IF(A153&lt;&gt;Toss[[#This Row],[No]],1,B153+1))</f>
        <v>1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2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ユニフォーム灰羽リエーフICONIC</v>
      </c>
    </row>
    <row r="156" spans="1:20" x14ac:dyDescent="0.35">
      <c r="A156">
        <f>VLOOKUP(Toss[[#This Row],[No用]],SetNo[[No.用]:[vlookup 用]],2,FALSE)</f>
        <v>50</v>
      </c>
      <c r="B156">
        <f>IF(ROW()=2,1,IF(A155&lt;&gt;Toss[[#This Row],[No]],1,B155+1))</f>
        <v>1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2</v>
      </c>
      <c r="C157" t="s">
        <v>386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探偵灰羽リエーフICONIC</v>
      </c>
    </row>
    <row r="158" spans="1:20" x14ac:dyDescent="0.35">
      <c r="A158">
        <f>VLOOKUP(Toss[[#This Row],[No用]],SetNo[[No.用]:[vlookup 用]],2,FALSE)</f>
        <v>51</v>
      </c>
      <c r="B158">
        <f>IF(ROW()=2,1,IF(A157&lt;&gt;Toss[[#This Row],[No]],1,B157+1))</f>
        <v>1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2</v>
      </c>
      <c r="C159" s="1" t="s">
        <v>1122</v>
      </c>
      <c r="D159" s="1" t="s">
        <v>41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路地裏灰羽リエーフICONIC</v>
      </c>
    </row>
    <row r="160" spans="1:20" x14ac:dyDescent="0.35">
      <c r="A160">
        <f>VLOOKUP(Toss[[#This Row],[No用]],SetNo[[No.用]:[vlookup 用]],2,FALSE)</f>
        <v>52</v>
      </c>
      <c r="B160">
        <f>IF(ROW()=2,1,IF(A159&lt;&gt;Toss[[#This Row],[No]],1,B159+1))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2</v>
      </c>
      <c r="C161" t="s">
        <v>108</v>
      </c>
      <c r="D161" t="s">
        <v>42</v>
      </c>
      <c r="E161" t="s">
        <v>24</v>
      </c>
      <c r="F161" t="s">
        <v>21</v>
      </c>
      <c r="G161" t="s">
        <v>27</v>
      </c>
      <c r="H161" t="s">
        <v>71</v>
      </c>
      <c r="I161">
        <v>1</v>
      </c>
      <c r="J161" t="s">
        <v>232</v>
      </c>
      <c r="K161" t="s">
        <v>169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ユニフォーム夜久衛輔ICONIC</v>
      </c>
    </row>
    <row r="162" spans="1:20" x14ac:dyDescent="0.35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166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2</v>
      </c>
      <c r="C163" s="1" t="s">
        <v>1001</v>
      </c>
      <c r="D163" s="1" t="s">
        <v>42</v>
      </c>
      <c r="E163" s="1" t="s">
        <v>77</v>
      </c>
      <c r="F163" s="1" t="s">
        <v>21</v>
      </c>
      <c r="G163" s="1" t="s">
        <v>27</v>
      </c>
      <c r="H163" s="1" t="s">
        <v>71</v>
      </c>
      <c r="I163">
        <v>1</v>
      </c>
      <c r="J163" t="s">
        <v>232</v>
      </c>
      <c r="K163" t="s">
        <v>169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1周年夜久衛輔ICONIC</v>
      </c>
    </row>
    <row r="164" spans="1:20" x14ac:dyDescent="0.35">
      <c r="A164">
        <f>VLOOKUP(Toss[[#This Row],[No用]],SetNo[[No.用]:[vlookup 用]],2,FALSE)</f>
        <v>54</v>
      </c>
      <c r="B164">
        <f>IF(ROW()=2,1,IF(A163&lt;&gt;Toss[[#This Row],[No]],1,B163+1))</f>
        <v>1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2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ユニフォーム福永招平ICONIC</v>
      </c>
    </row>
    <row r="166" spans="1:20" x14ac:dyDescent="0.35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2</v>
      </c>
      <c r="C167" s="1" t="s">
        <v>1165</v>
      </c>
      <c r="D167" s="1" t="s">
        <v>43</v>
      </c>
      <c r="E167" s="1" t="s">
        <v>77</v>
      </c>
      <c r="F167" s="1" t="s">
        <v>25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バーガー福永招平ICONIC</v>
      </c>
    </row>
    <row r="168" spans="1:20" x14ac:dyDescent="0.35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2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ユニフォーム犬岡走ICONIC</v>
      </c>
    </row>
    <row r="170" spans="1:20" x14ac:dyDescent="0.35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2</v>
      </c>
      <c r="C171" s="1" t="s">
        <v>935</v>
      </c>
      <c r="D171" t="s">
        <v>44</v>
      </c>
      <c r="E171" s="1" t="s">
        <v>77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新年犬岡走ICONIC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s="1" t="s">
        <v>935</v>
      </c>
      <c r="D173" t="s">
        <v>45</v>
      </c>
      <c r="E173" s="1" t="s">
        <v>77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新年山本猛虎ICONIC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46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ユニフォーム芝山優生ICONIC</v>
      </c>
    </row>
    <row r="175" spans="1:20" x14ac:dyDescent="0.35">
      <c r="A175">
        <f>VLOOKUP(Toss[[#This Row],[No用]],SetNo[[No.用]:[vlookup 用]],2,FALSE)</f>
        <v>61</v>
      </c>
      <c r="B175">
        <f>IF(ROW()=2,1,IF(A174&lt;&gt;Toss[[#This Row],[No]],1,B174+1))</f>
        <v>1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2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ユニフォーム海信之ICONIC</v>
      </c>
    </row>
    <row r="177" spans="1:20" x14ac:dyDescent="0.35">
      <c r="A177">
        <f>VLOOKUP(Toss[[#This Row],[No用]],SetNo[[No.用]:[vlookup 用]],2,FALSE)</f>
        <v>62</v>
      </c>
      <c r="B177">
        <f>IF(ROW()=2,1,IF(A176&lt;&gt;Toss[[#This Row],[No]],1,B176+1))</f>
        <v>1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2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232</v>
      </c>
      <c r="K178" t="s">
        <v>167</v>
      </c>
      <c r="L178" t="s">
        <v>162</v>
      </c>
      <c r="M178">
        <v>26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ユニフォーム海信之YELL</v>
      </c>
    </row>
    <row r="179" spans="1:20" x14ac:dyDescent="0.35">
      <c r="A179">
        <f>VLOOKUP(Toss[[#This Row],[No用]],SetNo[[No.用]:[vlookup 用]],2,FALSE)</f>
        <v>63</v>
      </c>
      <c r="B179">
        <f>IF(ROW()=2,1,IF(A178&lt;&gt;Toss[[#This Row],[No]],1,B178+1))</f>
        <v>1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2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ユニフォーム青根高伸ICONIC</v>
      </c>
    </row>
    <row r="181" spans="1:20" x14ac:dyDescent="0.35">
      <c r="A181">
        <f>VLOOKUP(Toss[[#This Row],[No用]],SetNo[[No.用]:[vlookup 用]],2,FALSE)</f>
        <v>64</v>
      </c>
      <c r="B181">
        <f>IF(ROW()=2,1,IF(A180&lt;&gt;Toss[[#This Row],[No]],1,B180+1))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制服青根高伸ICONIC</v>
      </c>
    </row>
    <row r="183" spans="1:20" x14ac:dyDescent="0.35">
      <c r="A183">
        <f>VLOOKUP(Toss[[#This Row],[No用]],SetNo[[No.用]:[vlookup 用]],2,FALSE)</f>
        <v>65</v>
      </c>
      <c r="B183">
        <f>IF(ROW()=2,1,IF(A182&lt;&gt;Toss[[#This Row],[No]],1,B182+1))</f>
        <v>1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2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プール掃除青根高伸ICONIC</v>
      </c>
    </row>
    <row r="185" spans="1:20" x14ac:dyDescent="0.35">
      <c r="A185">
        <f>VLOOKUP(Toss[[#This Row],[No用]],SetNo[[No.用]:[vlookup 用]],2,FALSE)</f>
        <v>66</v>
      </c>
      <c r="B185">
        <f>IF(ROW()=2,1,IF(A184&lt;&gt;Toss[[#This Row],[No]],1,B184+1))</f>
        <v>1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2</v>
      </c>
      <c r="C186" t="s">
        <v>206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ユニフォーム二口堅治ICONIC</v>
      </c>
    </row>
    <row r="187" spans="1:20" x14ac:dyDescent="0.35">
      <c r="A187">
        <f>VLOOKUP(Toss[[#This Row],[No用]],SetNo[[No.用]:[vlookup 用]],2,FALSE)</f>
        <v>67</v>
      </c>
      <c r="B187">
        <f>IF(ROW()=2,1,IF(A186&lt;&gt;Toss[[#This Row],[No]],1,B186+1))</f>
        <v>1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2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制服二口堅治ICONIC</v>
      </c>
    </row>
    <row r="189" spans="1:20" x14ac:dyDescent="0.35">
      <c r="A189">
        <f>VLOOKUP(Toss[[#This Row],[No用]],SetNo[[No.用]:[vlookup 用]],2,FALSE)</f>
        <v>68</v>
      </c>
      <c r="B189">
        <f>IF(ROW()=2,1,IF(A188&lt;&gt;Toss[[#This Row],[No]],1,B188+1))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32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プール掃除二口堅治ICONIC</v>
      </c>
    </row>
    <row r="191" spans="1:20" x14ac:dyDescent="0.35">
      <c r="A191">
        <f>VLOOKUP(Toss[[#This Row],[No用]],SetNo[[No.用]:[vlookup 用]],2,FALSE)</f>
        <v>69</v>
      </c>
      <c r="B191">
        <f>IF(ROW()=2,1,IF(A190&lt;&gt;Toss[[#This Row],[No]],1,B190+1))</f>
        <v>1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2</v>
      </c>
      <c r="C192" s="1" t="s">
        <v>1122</v>
      </c>
      <c r="D192" s="1" t="s">
        <v>50</v>
      </c>
      <c r="E192" s="1" t="s">
        <v>90</v>
      </c>
      <c r="F192" s="1" t="s">
        <v>25</v>
      </c>
      <c r="G192" s="1" t="s">
        <v>49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路地裏二口堅治ICONIC</v>
      </c>
    </row>
    <row r="193" spans="1:20" x14ac:dyDescent="0.35">
      <c r="A193">
        <f>VLOOKUP(Toss[[#This Row],[No用]],SetNo[[No.用]:[vlookup 用]],2,FALSE)</f>
        <v>70</v>
      </c>
      <c r="B193">
        <f>IF(ROW()=2,1,IF(A192&lt;&gt;Toss[[#This Row],[No]],1,B192+1))</f>
        <v>1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70</v>
      </c>
      <c r="B194">
        <f>IF(ROW()=2,1,IF(A193&lt;&gt;Toss[[#This Row],[No]],1,B193+1))</f>
        <v>2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70</v>
      </c>
      <c r="B195">
        <f>IF(ROW()=2,1,IF(A194&lt;&gt;Toss[[#This Row],[No]],1,B194+1))</f>
        <v>3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70</v>
      </c>
      <c r="B196">
        <f>IF(ROW()=2,1,IF(A195&lt;&gt;Toss[[#This Row],[No]],1,B195+1))</f>
        <v>4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70</v>
      </c>
      <c r="B197">
        <f>IF(ROW()=2,1,IF(A196&lt;&gt;Toss[[#This Row],[No]],1,B196+1))</f>
        <v>5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70</v>
      </c>
      <c r="B198">
        <f>IF(ROW()=2,1,IF(A197&lt;&gt;Toss[[#This Row],[No]],1,B197+1))</f>
        <v>6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7</v>
      </c>
      <c r="C199" t="s">
        <v>206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ユニフォーム黄金川貫至ICONIC</v>
      </c>
    </row>
    <row r="200" spans="1:20" x14ac:dyDescent="0.35">
      <c r="A200">
        <f>VLOOKUP(Toss[[#This Row],[No用]],SetNo[[No.用]:[vlookup 用]],2,FALSE)</f>
        <v>71</v>
      </c>
      <c r="B200">
        <f>IF(ROW()=2,1,IF(A199&lt;&gt;Toss[[#This Row],[No]],1,B199+1))</f>
        <v>1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2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3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4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5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385</v>
      </c>
      <c r="L204" s="1" t="s">
        <v>173</v>
      </c>
      <c r="M204">
        <v>36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6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233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7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8</v>
      </c>
      <c r="C207" t="s">
        <v>149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Toss[[#This Row],[服装]]&amp;Toss[[#This Row],[名前]]&amp;Toss[[#This Row],[レアリティ]]</f>
        <v>制服黄金川貫至ICONIC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233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9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42</v>
      </c>
      <c r="N216">
        <v>0</v>
      </c>
      <c r="O216">
        <v>52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ユニフォーム小原豊ICONIC</v>
      </c>
    </row>
    <row r="219" spans="1:20" x14ac:dyDescent="0.3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ユニフォーム女川太郎ICONIC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53</v>
      </c>
      <c r="E221" t="s">
        <v>23</v>
      </c>
      <c r="F221" t="s">
        <v>21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31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ユニフォーム作並浩輔ICONIC</v>
      </c>
    </row>
    <row r="222" spans="1:20" x14ac:dyDescent="0.35">
      <c r="A222">
        <f>VLOOKUP(Toss[[#This Row],[No用]],SetNo[[No.用]:[vlookup 用]],2,FALSE)</f>
        <v>76</v>
      </c>
      <c r="B222">
        <f>IF(ROW()=2,1,IF(A221&lt;&gt;Toss[[#This Row],[No]],1,B221+1))</f>
        <v>1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2</v>
      </c>
      <c r="C223" t="s">
        <v>206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ユニフォーム吹上仁悟ICONIC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1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2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3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181</v>
      </c>
      <c r="L226" s="1" t="s">
        <v>173</v>
      </c>
      <c r="M226">
        <v>39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77</v>
      </c>
      <c r="B227">
        <f>IF(ROW()=2,1,IF(A226&lt;&gt;Toss[[#This Row],[No]],1,B226+1))</f>
        <v>4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77</v>
      </c>
      <c r="B228">
        <f>IF(ROW()=2,1,IF(A227&lt;&gt;Toss[[#This Row],[No]],1,B227+1))</f>
        <v>5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77</v>
      </c>
      <c r="B229">
        <f>IF(ROW()=2,1,IF(A228&lt;&gt;Toss[[#This Row],[No]],1,B228+1))</f>
        <v>6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7</v>
      </c>
      <c r="C230" s="1" t="s">
        <v>108</v>
      </c>
      <c r="D230" s="1" t="s">
        <v>1022</v>
      </c>
      <c r="E230" s="1" t="s">
        <v>23</v>
      </c>
      <c r="F230" s="1" t="s">
        <v>74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183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Toss[[#This Row],[服装]]&amp;Toss[[#This Row],[名前]]&amp;Toss[[#This Row],[レアリティ]]</f>
        <v>ユニフォーム茂庭要ICONIC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1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2</v>
      </c>
      <c r="C232" s="1" t="s">
        <v>108</v>
      </c>
      <c r="D232" s="1" t="s">
        <v>1024</v>
      </c>
      <c r="E232" s="1" t="s">
        <v>23</v>
      </c>
      <c r="F232" s="1" t="s">
        <v>82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167</v>
      </c>
      <c r="L232" s="1" t="s">
        <v>162</v>
      </c>
      <c r="M232">
        <v>30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ユニフォーム鎌先靖志ICONIC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1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166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2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169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3</v>
      </c>
      <c r="C235" s="1" t="s">
        <v>108</v>
      </c>
      <c r="D235" s="1" t="s">
        <v>1026</v>
      </c>
      <c r="E235" s="1" t="s">
        <v>23</v>
      </c>
      <c r="F235" s="1" t="s">
        <v>78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23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ユニフォーム笹谷武仁ICONIC</v>
      </c>
    </row>
    <row r="236" spans="1:20" x14ac:dyDescent="0.35">
      <c r="A236">
        <f>VLOOKUP(Toss[[#This Row],[No用]],SetNo[[No.用]:[vlookup 用]],2,FALSE)</f>
        <v>80</v>
      </c>
      <c r="B236">
        <f>IF(ROW()=2,1,IF(A235&lt;&gt;Toss[[#This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4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5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6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ユニフォーム及川徹ICONIC</v>
      </c>
    </row>
    <row r="242" spans="1:20" x14ac:dyDescent="0.35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166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169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234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5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233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6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167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7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8</v>
      </c>
      <c r="C249" t="s">
        <v>117</v>
      </c>
      <c r="D249" t="s">
        <v>30</v>
      </c>
      <c r="E249" t="s">
        <v>24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 t="s">
        <v>388</v>
      </c>
      <c r="T249" t="str">
        <f>Toss[[#This Row],[服装]]&amp;Toss[[#This Row],[名前]]&amp;Toss[[#This Row],[レアリティ]]</f>
        <v>プール掃除及川徹ICONIC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178</v>
      </c>
      <c r="M254">
        <v>36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s="1" t="s">
        <v>915</v>
      </c>
      <c r="D257" t="s">
        <v>30</v>
      </c>
      <c r="E257" s="1" t="s">
        <v>77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/>
      <c r="T257" t="str">
        <f>Toss[[#This Row],[服装]]&amp;Toss[[#This Row],[名前]]&amp;Toss[[#This Row],[レアリティ]]</f>
        <v>Xmas及川徹ICONIC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149</v>
      </c>
      <c r="D263" t="s">
        <v>30</v>
      </c>
      <c r="E263" s="1" t="s">
        <v>73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制服及川徹ICONIC</v>
      </c>
    </row>
    <row r="264" spans="1:20" x14ac:dyDescent="0.35">
      <c r="A264">
        <f>VLOOKUP(Toss[[#This Row],[No用]],SetNo[[No.用]:[vlookup 用]],2,FALSE)</f>
        <v>84</v>
      </c>
      <c r="B264">
        <f>IF(ROW()=2,1,IF(A263&lt;&gt;Toss[[#This Row],[No]],1,B263+1))</f>
        <v>1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84</v>
      </c>
      <c r="B265">
        <f>IF(ROW()=2,1,IF(A264&lt;&gt;Toss[[#This Row],[No]],1,B264+1))</f>
        <v>2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173</v>
      </c>
      <c r="M265">
        <v>33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3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234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4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172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5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233</v>
      </c>
      <c r="L268" s="1" t="s">
        <v>178</v>
      </c>
      <c r="M268">
        <v>36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6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167</v>
      </c>
      <c r="L269" s="1" t="s">
        <v>173</v>
      </c>
      <c r="M269">
        <v>42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7</v>
      </c>
      <c r="C270" s="1" t="s">
        <v>1122</v>
      </c>
      <c r="D270" s="1" t="s">
        <v>30</v>
      </c>
      <c r="E270" s="1" t="s">
        <v>90</v>
      </c>
      <c r="F270" s="1" t="s">
        <v>31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183</v>
      </c>
      <c r="L270" s="1" t="s">
        <v>225</v>
      </c>
      <c r="M270">
        <v>52</v>
      </c>
      <c r="N270">
        <v>0</v>
      </c>
      <c r="O270">
        <v>62</v>
      </c>
      <c r="P270">
        <v>0</v>
      </c>
      <c r="Q270" s="1"/>
      <c r="T270" t="str">
        <f>Toss[[#This Row],[服装]]&amp;Toss[[#This Row],[名前]]&amp;Toss[[#This Row],[レアリティ]]</f>
        <v>路地裏及川徹ICONIC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1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2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ユニフォーム岩泉一ICONIC</v>
      </c>
    </row>
    <row r="273" spans="1:20" x14ac:dyDescent="0.35">
      <c r="A273">
        <f>VLOOKUP(Toss[[#This Row],[No用]],SetNo[[No.用]:[vlookup 用]],2,FALSE)</f>
        <v>86</v>
      </c>
      <c r="B273">
        <f>IF(ROW()=2,1,IF(A272&lt;&gt;Toss[[#This Row],[No]],1,B272+1))</f>
        <v>1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2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178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プール掃除岩泉一ICONIC</v>
      </c>
    </row>
    <row r="275" spans="1:20" x14ac:dyDescent="0.35">
      <c r="A275">
        <f>VLOOKUP(Toss[[#This Row],[No用]],SetNo[[No.用]:[vlookup 用]],2,FALSE)</f>
        <v>87</v>
      </c>
      <c r="B275">
        <f>IF(ROW()=2,1,IF(A274&lt;&gt;Toss[[#This Row],[No]],1,B274+1))</f>
        <v>1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24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2</v>
      </c>
      <c r="C276" s="1" t="s">
        <v>149</v>
      </c>
      <c r="D276" t="s">
        <v>32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制服岩泉一ICONIC</v>
      </c>
    </row>
    <row r="277" spans="1:20" x14ac:dyDescent="0.35">
      <c r="A277">
        <f>VLOOKUP(Toss[[#This Row],[No用]],SetNo[[No.用]:[vlookup 用]],2,FALSE)</f>
        <v>88</v>
      </c>
      <c r="B277">
        <f>IF(ROW()=2,1,IF(A276&lt;&gt;Toss[[#This Row],[No]],1,B276+1))</f>
        <v>1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2</v>
      </c>
      <c r="C278" s="1" t="s">
        <v>1049</v>
      </c>
      <c r="D278" s="1" t="s">
        <v>32</v>
      </c>
      <c r="E278" s="1" t="s">
        <v>77</v>
      </c>
      <c r="F278" s="1" t="s">
        <v>25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サバゲ岩泉一ICONIC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1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2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178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ユニフォーム金田一勇太郎ICONIC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1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2</v>
      </c>
      <c r="C282" s="1" t="s">
        <v>959</v>
      </c>
      <c r="D282" t="s">
        <v>33</v>
      </c>
      <c r="E282" s="1" t="s">
        <v>77</v>
      </c>
      <c r="F282" t="s">
        <v>26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雪遊び金田一勇太郎ICONIC</v>
      </c>
    </row>
    <row r="283" spans="1:20" x14ac:dyDescent="0.35">
      <c r="A283">
        <f>VLOOKUP(Toss[[#This Row],[No用]],SetNo[[No.用]:[vlookup 用]],2,FALSE)</f>
        <v>91</v>
      </c>
      <c r="B283">
        <f>IF(ROW()=2,1,IF(A282&lt;&gt;Toss[[#This Row],[No]],1,B282+1))</f>
        <v>1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2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ユニフォーム京谷賢太郎ICONIC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ユニフォーム国見英ICONIC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1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2</v>
      </c>
      <c r="C288" s="1" t="s">
        <v>702</v>
      </c>
      <c r="D288" t="s">
        <v>35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職業体験国見英ICONIC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1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2</v>
      </c>
      <c r="C290" s="1" t="s">
        <v>1122</v>
      </c>
      <c r="D290" s="1" t="s">
        <v>35</v>
      </c>
      <c r="E290" s="1" t="s">
        <v>77</v>
      </c>
      <c r="F290" s="1" t="s">
        <v>25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路地裏国見英ICONIC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1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2</v>
      </c>
      <c r="C292" t="s">
        <v>206</v>
      </c>
      <c r="D292" t="s">
        <v>36</v>
      </c>
      <c r="E292" t="s">
        <v>23</v>
      </c>
      <c r="F292" t="s">
        <v>21</v>
      </c>
      <c r="G292" t="s">
        <v>20</v>
      </c>
      <c r="H292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50</v>
      </c>
      <c r="N292">
        <v>0</v>
      </c>
      <c r="O292">
        <v>60</v>
      </c>
      <c r="P292">
        <v>0</v>
      </c>
      <c r="T292" t="str">
        <f>Toss[[#This Row],[服装]]&amp;Toss[[#This Row],[名前]]&amp;Toss[[#This Row],[レアリティ]]</f>
        <v>ユニフォーム渡親治ICONIC</v>
      </c>
    </row>
    <row r="293" spans="1:20" x14ac:dyDescent="0.35">
      <c r="A293">
        <f>VLOOKUP(Toss[[#This Row],[No用]],SetNo[[No.用]:[vlookup 用]],2,FALSE)</f>
        <v>96</v>
      </c>
      <c r="B293">
        <f>IF(ROW()=2,1,IF(A292&lt;&gt;Toss[[#This Row],[No]],1,B292+1))</f>
        <v>1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2</v>
      </c>
      <c r="C294" t="s">
        <v>206</v>
      </c>
      <c r="D294" t="s">
        <v>37</v>
      </c>
      <c r="E294" t="s">
        <v>23</v>
      </c>
      <c r="F294" t="s">
        <v>26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ユニフォーム松川一静ICONIC</v>
      </c>
    </row>
    <row r="295" spans="1:20" x14ac:dyDescent="0.35">
      <c r="A295">
        <f>VLOOKUP(Toss[[#This Row],[No用]],SetNo[[No.用]:[vlookup 用]],2,FALSE)</f>
        <v>97</v>
      </c>
      <c r="B295">
        <f>IF(ROW()=2,1,IF(A294&lt;&gt;Toss[[#This Row],[No]],1,B294+1))</f>
        <v>1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2</v>
      </c>
      <c r="C296" s="1" t="s">
        <v>908</v>
      </c>
      <c r="D296" t="s">
        <v>37</v>
      </c>
      <c r="E296" s="1" t="s">
        <v>90</v>
      </c>
      <c r="F296" t="s">
        <v>82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アート松川一静ICONIC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1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98</v>
      </c>
      <c r="B298">
        <f>IF(ROW()=2,1,IF(A297&lt;&gt;Toss[[#This Row],[No]],1,B297+1))</f>
        <v>2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169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3</v>
      </c>
      <c r="C299" t="s">
        <v>206</v>
      </c>
      <c r="D299" t="s">
        <v>38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ユニフォーム花巻貴大ICONIC</v>
      </c>
    </row>
    <row r="300" spans="1:20" x14ac:dyDescent="0.35">
      <c r="A300">
        <f>VLOOKUP(Toss[[#This Row],[No用]],SetNo[[No.用]:[vlookup 用]],2,FALSE)</f>
        <v>99</v>
      </c>
      <c r="B300">
        <f>IF(ROW()=2,1,IF(A299&lt;&gt;Toss[[#This Row],[No]],1,B299+1))</f>
        <v>1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99</v>
      </c>
      <c r="B301">
        <f>IF(ROW()=2,1,IF(A300&lt;&gt;Toss[[#This Row],[No]],1,B300+1))</f>
        <v>2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169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3</v>
      </c>
      <c r="C302" s="1" t="s">
        <v>908</v>
      </c>
      <c r="D302" t="s">
        <v>38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アート花巻貴大ICONIC</v>
      </c>
    </row>
    <row r="303" spans="1:20" x14ac:dyDescent="0.35">
      <c r="A303">
        <f>VLOOKUP(Toss[[#This Row],[No用]],SetNo[[No.用]:[vlookup 用]],2,FALSE)</f>
        <v>100</v>
      </c>
      <c r="B303">
        <f>IF(ROW()=2,1,IF(A302&lt;&gt;Toss[[#This Row],[No]],1,B302+1))</f>
        <v>1</v>
      </c>
      <c r="C303" s="1" t="s">
        <v>1165</v>
      </c>
      <c r="D303" s="1" t="s">
        <v>38</v>
      </c>
      <c r="E303" s="1" t="s">
        <v>77</v>
      </c>
      <c r="F303" s="1" t="s">
        <v>25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166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バーガー花巻貴大ICONIC</v>
      </c>
    </row>
    <row r="304" spans="1:20" x14ac:dyDescent="0.35">
      <c r="A304">
        <f>VLOOKUP(Toss[[#This Row],[No用]],SetNo[[No.用]:[vlookup 用]],2,FALSE)</f>
        <v>100</v>
      </c>
      <c r="B304">
        <f>IF(ROW()=2,1,IF(A303&lt;&gt;Toss[[#This Row],[No]],1,B303+1))</f>
        <v>2</v>
      </c>
      <c r="C304" s="1" t="s">
        <v>1165</v>
      </c>
      <c r="D304" s="1" t="s">
        <v>38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169</v>
      </c>
      <c r="L304" s="1" t="s">
        <v>178</v>
      </c>
      <c r="M304">
        <v>31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バーガー花巻貴大ICONIC</v>
      </c>
    </row>
    <row r="305" spans="1:20" x14ac:dyDescent="0.35">
      <c r="A305">
        <f>VLOOKUP(Toss[[#This Row],[No用]],SetNo[[No.用]:[vlookup 用]],2,FALSE)</f>
        <v>100</v>
      </c>
      <c r="B305">
        <f>IF(ROW()=2,1,IF(A304&lt;&gt;Toss[[#This Row],[No]],1,B304+1))</f>
        <v>3</v>
      </c>
      <c r="C305" s="1" t="s">
        <v>1165</v>
      </c>
      <c r="D305" s="1" t="s">
        <v>38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バーガー花巻貴大ICONIC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4</v>
      </c>
      <c r="C306" s="1" t="s">
        <v>1165</v>
      </c>
      <c r="D306" s="1" t="s">
        <v>38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183</v>
      </c>
      <c r="L306" s="1" t="s">
        <v>225</v>
      </c>
      <c r="M306">
        <v>46</v>
      </c>
      <c r="N306">
        <v>0</v>
      </c>
      <c r="O306">
        <v>56</v>
      </c>
      <c r="P306">
        <v>0</v>
      </c>
      <c r="T306" t="str">
        <f>Toss[[#This Row],[服装]]&amp;Toss[[#This Row],[名前]]&amp;Toss[[#This Row],[レアリティ]]</f>
        <v>バーガー花巻貴大ICONIC</v>
      </c>
    </row>
    <row r="307" spans="1:20" x14ac:dyDescent="0.35">
      <c r="A307">
        <f>VLOOKUP(Toss[[#This Row],[No用]],SetNo[[No.用]:[vlookup 用]],2,FALSE)</f>
        <v>101</v>
      </c>
      <c r="B307">
        <f>IF(ROW()=2,1,IF(A306&lt;&gt;Toss[[#This Row],[No]],1,B306+1))</f>
        <v>1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166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2</v>
      </c>
      <c r="C308" s="1" t="s">
        <v>108</v>
      </c>
      <c r="D308" s="1" t="s">
        <v>1042</v>
      </c>
      <c r="E308" s="1" t="s">
        <v>73</v>
      </c>
      <c r="F308" s="1" t="s">
        <v>74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169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ユニフォーム矢巾秀ICONIC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3</v>
      </c>
      <c r="C309" s="1" t="s">
        <v>108</v>
      </c>
      <c r="D309" s="1" t="s">
        <v>1042</v>
      </c>
      <c r="E309" s="1" t="s">
        <v>73</v>
      </c>
      <c r="F309" s="1" t="s">
        <v>74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234</v>
      </c>
      <c r="L309" s="1" t="s">
        <v>173</v>
      </c>
      <c r="M309">
        <v>38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ユニフォーム矢巾秀ICONIC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4</v>
      </c>
      <c r="C310" s="1" t="s">
        <v>108</v>
      </c>
      <c r="D310" s="1" t="s">
        <v>1042</v>
      </c>
      <c r="E310" s="1" t="s">
        <v>73</v>
      </c>
      <c r="F310" s="1" t="s">
        <v>74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172</v>
      </c>
      <c r="L310" s="1" t="s">
        <v>178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ユニフォーム矢巾秀ICONIC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5</v>
      </c>
      <c r="C311" s="1" t="s">
        <v>108</v>
      </c>
      <c r="D311" s="1" t="s">
        <v>1042</v>
      </c>
      <c r="E311" s="1" t="s">
        <v>73</v>
      </c>
      <c r="F311" s="1" t="s">
        <v>74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ユニフォーム矢巾秀ICONIC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6</v>
      </c>
      <c r="C312" s="1" t="s">
        <v>108</v>
      </c>
      <c r="D312" s="1" t="s">
        <v>1042</v>
      </c>
      <c r="E312" s="1" t="s">
        <v>73</v>
      </c>
      <c r="F312" s="1" t="s">
        <v>74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183</v>
      </c>
      <c r="L312" s="1" t="s">
        <v>225</v>
      </c>
      <c r="M312">
        <v>49</v>
      </c>
      <c r="N312">
        <v>0</v>
      </c>
      <c r="O312">
        <v>59</v>
      </c>
      <c r="P312">
        <v>0</v>
      </c>
      <c r="Q312" s="1" t="s">
        <v>1047</v>
      </c>
      <c r="T312" t="str">
        <f>Toss[[#This Row],[服装]]&amp;Toss[[#This Row],[名前]]&amp;Toss[[#This Row],[レアリティ]]</f>
        <v>ユニフォーム矢巾秀ICONIC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55</v>
      </c>
      <c r="E313" t="s">
        <v>23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ユニフォーム駒木輝ICONIC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t="s">
        <v>206</v>
      </c>
      <c r="D314" t="s">
        <v>55</v>
      </c>
      <c r="E314" t="s">
        <v>23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169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ユニフォーム駒木輝ICONIC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t="s">
        <v>206</v>
      </c>
      <c r="D315" t="s">
        <v>55</v>
      </c>
      <c r="E315" t="s">
        <v>23</v>
      </c>
      <c r="F315" t="s">
        <v>25</v>
      </c>
      <c r="G315" t="s">
        <v>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29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ユニフォーム駒木輝ICONIC</v>
      </c>
    </row>
    <row r="316" spans="1:20" x14ac:dyDescent="0.35">
      <c r="A316">
        <f>VLOOKUP(Toss[[#This Row],[No用]],SetNo[[No.用]:[vlookup 用]],2,FALSE)</f>
        <v>103</v>
      </c>
      <c r="B316">
        <f>IF(ROW()=2,1,IF(A315&lt;&gt;Toss[[#This Row],[No]],1,B315+1))</f>
        <v>1</v>
      </c>
      <c r="C316" t="s">
        <v>206</v>
      </c>
      <c r="D316" t="s">
        <v>57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ユニフォーム茶屋和馬ICONIC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2</v>
      </c>
      <c r="C317" t="s">
        <v>206</v>
      </c>
      <c r="D317" t="s">
        <v>57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ユニフォーム茶屋和馬ICONIC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1</v>
      </c>
      <c r="C318" t="s">
        <v>206</v>
      </c>
      <c r="D318" t="s">
        <v>58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ユニフォーム玉川弘樹ICONIC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2</v>
      </c>
      <c r="C319" t="s">
        <v>206</v>
      </c>
      <c r="D319" t="s">
        <v>58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ユニフォーム玉川弘樹ICONIC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1</v>
      </c>
      <c r="C320" t="s">
        <v>206</v>
      </c>
      <c r="D320" t="s">
        <v>59</v>
      </c>
      <c r="E320" t="s">
        <v>24</v>
      </c>
      <c r="F320" t="s">
        <v>21</v>
      </c>
      <c r="G320" t="s">
        <v>56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ユニフォーム桜井大河ICONIC</v>
      </c>
    </row>
    <row r="321" spans="1:20" x14ac:dyDescent="0.35">
      <c r="A321">
        <f>VLOOKUP(Toss[[#This Row],[No用]],SetNo[[No.用]:[vlookup 用]],2,FALSE)</f>
        <v>106</v>
      </c>
      <c r="B321">
        <f>IF(ROW()=2,1,IF(A320&lt;&gt;Toss[[#This Row],[No]],1,B320+1))</f>
        <v>1</v>
      </c>
      <c r="C321" t="s">
        <v>206</v>
      </c>
      <c r="D321" t="s">
        <v>60</v>
      </c>
      <c r="E321" t="s">
        <v>24</v>
      </c>
      <c r="F321" t="s">
        <v>31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ユニフォーム芳賀良治ICONIC</v>
      </c>
    </row>
    <row r="322" spans="1:20" x14ac:dyDescent="0.35">
      <c r="A322">
        <f>VLOOKUP(Toss[[#This Row],[No用]],SetNo[[No.用]:[vlookup 用]],2,FALSE)</f>
        <v>106</v>
      </c>
      <c r="B322">
        <f>IF(ROW()=2,1,IF(A321&lt;&gt;Toss[[#This Row],[No]],1,B321+1))</f>
        <v>2</v>
      </c>
      <c r="C322" t="s">
        <v>206</v>
      </c>
      <c r="D322" t="s">
        <v>60</v>
      </c>
      <c r="E322" t="s">
        <v>24</v>
      </c>
      <c r="F322" t="s">
        <v>31</v>
      </c>
      <c r="G322" t="s">
        <v>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ユニフォーム芳賀良治ICONIC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3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232</v>
      </c>
      <c r="K323" s="1" t="s">
        <v>385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ユニフォーム芳賀良治ICONIC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4</v>
      </c>
      <c r="C324" t="s">
        <v>206</v>
      </c>
      <c r="D324" t="s">
        <v>60</v>
      </c>
      <c r="E324" t="s">
        <v>24</v>
      </c>
      <c r="F324" t="s">
        <v>31</v>
      </c>
      <c r="G324" t="s">
        <v>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ユニフォーム芳賀良治ICONIC</v>
      </c>
    </row>
    <row r="325" spans="1:20" x14ac:dyDescent="0.35">
      <c r="A325">
        <f>VLOOKUP(Toss[[#This Row],[No用]],SetNo[[No.用]:[vlookup 用]],2,FALSE)</f>
        <v>106</v>
      </c>
      <c r="B325">
        <f>IF(ROW()=2,1,IF(A324&lt;&gt;Toss[[#This Row],[No]],1,B324+1))</f>
        <v>5</v>
      </c>
      <c r="C325" t="s">
        <v>206</v>
      </c>
      <c r="D325" t="s">
        <v>60</v>
      </c>
      <c r="E325" t="s">
        <v>24</v>
      </c>
      <c r="F325" t="s">
        <v>31</v>
      </c>
      <c r="G325" t="s">
        <v>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ユニフォーム芳賀良治ICONIC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1</v>
      </c>
      <c r="C326" t="s">
        <v>206</v>
      </c>
      <c r="D326" t="s">
        <v>61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ユニフォーム渋谷陸斗ICONIC</v>
      </c>
    </row>
    <row r="327" spans="1:20" x14ac:dyDescent="0.35">
      <c r="A327">
        <f>VLOOKUP(Toss[[#This Row],[No用]],SetNo[[No.用]:[vlookup 用]],2,FALSE)</f>
        <v>107</v>
      </c>
      <c r="B327">
        <f>IF(ROW()=2,1,IF(A326&lt;&gt;Toss[[#This Row],[No]],1,B326+1))</f>
        <v>2</v>
      </c>
      <c r="C327" t="s">
        <v>206</v>
      </c>
      <c r="D327" t="s">
        <v>61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ユニフォーム渋谷陸斗ICONIC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1</v>
      </c>
      <c r="C328" t="s">
        <v>206</v>
      </c>
      <c r="D328" t="s">
        <v>62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ユニフォーム池尻隼人ICONIC</v>
      </c>
    </row>
    <row r="329" spans="1:20" x14ac:dyDescent="0.35">
      <c r="A329">
        <f>VLOOKUP(Toss[[#This Row],[No用]],SetNo[[No.用]:[vlookup 用]],2,FALSE)</f>
        <v>108</v>
      </c>
      <c r="B329">
        <f>IF(ROW()=2,1,IF(A328&lt;&gt;Toss[[#This Row],[No]],1,B328+1))</f>
        <v>2</v>
      </c>
      <c r="C329" t="s">
        <v>206</v>
      </c>
      <c r="D329" t="s">
        <v>62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ユニフォーム池尻隼人ICONIC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1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ユニフォーム十和田良樹ICONIC</v>
      </c>
    </row>
    <row r="331" spans="1:20" x14ac:dyDescent="0.35">
      <c r="A331">
        <f>VLOOKUP(Toss[[#This Row],[No用]],SetNo[[No.用]:[vlookup 用]],2,FALSE)</f>
        <v>109</v>
      </c>
      <c r="B331">
        <f>IF(ROW()=2,1,IF(A330&lt;&gt;Toss[[#This Row],[No]],1,B330+1))</f>
        <v>2</v>
      </c>
      <c r="C331" t="s">
        <v>206</v>
      </c>
      <c r="D331" t="s">
        <v>63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ユニフォーム十和田良樹ICONIC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1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 s="1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ユニフォーム森岳歩ICONIC</v>
      </c>
    </row>
    <row r="333" spans="1:20" x14ac:dyDescent="0.35">
      <c r="A333">
        <f>VLOOKUP(Toss[[#This Row],[No用]],SetNo[[No.用]:[vlookup 用]],2,FALSE)</f>
        <v>110</v>
      </c>
      <c r="B333">
        <f>IF(ROW()=2,1,IF(A332&lt;&gt;Toss[[#This Row],[No]],1,B332+1))</f>
        <v>2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ユニフォーム森岳歩ICONIC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1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ユニフォーム唐松拓巳ICONIC</v>
      </c>
    </row>
    <row r="335" spans="1:20" x14ac:dyDescent="0.35">
      <c r="A335">
        <f>VLOOKUP(Toss[[#This Row],[No用]],SetNo[[No.用]:[vlookup 用]],2,FALSE)</f>
        <v>111</v>
      </c>
      <c r="B335">
        <f>IF(ROW()=2,1,IF(A334&lt;&gt;Toss[[#This Row],[No]],1,B334+1))</f>
        <v>2</v>
      </c>
      <c r="C335" t="s">
        <v>206</v>
      </c>
      <c r="D335" t="s">
        <v>66</v>
      </c>
      <c r="E335" t="s">
        <v>24</v>
      </c>
      <c r="F335" t="s">
        <v>25</v>
      </c>
      <c r="G335" t="s">
        <v>64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ユニフォーム唐松拓巳ICONIC</v>
      </c>
    </row>
    <row r="336" spans="1:20" x14ac:dyDescent="0.35">
      <c r="A336">
        <f>VLOOKUP(Toss[[#This Row],[No用]],SetNo[[No.用]:[vlookup 用]],2,FALSE)</f>
        <v>112</v>
      </c>
      <c r="B336">
        <f>IF(ROW()=2,1,IF(A335&lt;&gt;Toss[[#This Row],[No]],1,B335+1))</f>
        <v>1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ユニフォーム田沢裕樹ICONIC</v>
      </c>
    </row>
    <row r="337" spans="1:20" x14ac:dyDescent="0.35">
      <c r="A337">
        <f>VLOOKUP(Toss[[#This Row],[No用]],SetNo[[No.用]:[vlookup 用]],2,FALSE)</f>
        <v>112</v>
      </c>
      <c r="B337">
        <f>IF(ROW()=2,1,IF(A336&lt;&gt;Toss[[#This Row],[No]],1,B336+1))</f>
        <v>2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30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ユニフォーム田沢裕樹ICONIC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1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ユニフォーム子安颯真ICONIC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2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ユニフォーム子安颯真ICONIC</v>
      </c>
    </row>
    <row r="340" spans="1:20" x14ac:dyDescent="0.35">
      <c r="A340">
        <f>VLOOKUP(Toss[[#This Row],[No用]],SetNo[[No.用]:[vlookup 用]],2,FALSE)</f>
        <v>114</v>
      </c>
      <c r="B340">
        <f>IF(ROW()=2,1,IF(A339&lt;&gt;Toss[[#This Row],[No]],1,B339+1))</f>
        <v>1</v>
      </c>
      <c r="C340" t="s">
        <v>206</v>
      </c>
      <c r="D340" t="s">
        <v>69</v>
      </c>
      <c r="E340" t="s">
        <v>28</v>
      </c>
      <c r="F340" t="s">
        <v>21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ユニフォーム横手駿ICONIC</v>
      </c>
    </row>
    <row r="341" spans="1:20" x14ac:dyDescent="0.35">
      <c r="A341">
        <f>VLOOKUP(Toss[[#This Row],[No用]],SetNo[[No.用]:[vlookup 用]],2,FALSE)</f>
        <v>115</v>
      </c>
      <c r="B341">
        <f>IF(ROW()=2,1,IF(A340&lt;&gt;Toss[[#This Row],[No]],1,B340+1))</f>
        <v>1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232</v>
      </c>
      <c r="K341" s="1" t="s">
        <v>166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ユニフォーム夏瀬伊吹ICONIC</v>
      </c>
    </row>
    <row r="342" spans="1:20" x14ac:dyDescent="0.35">
      <c r="A342">
        <f>VLOOKUP(Toss[[#This Row],[No用]],SetNo[[No.用]:[vlookup 用]],2,FALSE)</f>
        <v>115</v>
      </c>
      <c r="B342">
        <f>IF(ROW()=2,1,IF(A341&lt;&gt;Toss[[#This Row],[No]],1,B341+1))</f>
        <v>2</v>
      </c>
      <c r="C342" t="s">
        <v>206</v>
      </c>
      <c r="D342" t="s">
        <v>70</v>
      </c>
      <c r="E342" t="s">
        <v>28</v>
      </c>
      <c r="F342" t="s">
        <v>31</v>
      </c>
      <c r="G342" t="s">
        <v>64</v>
      </c>
      <c r="H342" t="s">
        <v>71</v>
      </c>
      <c r="I342">
        <v>1</v>
      </c>
      <c r="J342" t="s">
        <v>232</v>
      </c>
      <c r="K342" s="1" t="s">
        <v>169</v>
      </c>
      <c r="L342" s="1" t="s">
        <v>173</v>
      </c>
      <c r="M342">
        <v>32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ユニフォーム夏瀬伊吹ICONIC</v>
      </c>
    </row>
    <row r="343" spans="1:20" x14ac:dyDescent="0.35">
      <c r="A343">
        <f>VLOOKUP(Toss[[#This Row],[No用]],SetNo[[No.用]:[vlookup 用]],2,FALSE)</f>
        <v>115</v>
      </c>
      <c r="B343">
        <f>IF(ROW()=2,1,IF(A342&lt;&gt;Toss[[#This Row],[No]],1,B342+1))</f>
        <v>3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232</v>
      </c>
      <c r="K343" s="1" t="s">
        <v>234</v>
      </c>
      <c r="L343" s="1" t="s">
        <v>173</v>
      </c>
      <c r="M343">
        <v>14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ユニフォーム夏瀬伊吹ICONIC</v>
      </c>
    </row>
    <row r="344" spans="1:20" x14ac:dyDescent="0.35">
      <c r="A344">
        <f>VLOOKUP(Toss[[#This Row],[No用]],SetNo[[No.用]:[vlookup 用]],2,FALSE)</f>
        <v>115</v>
      </c>
      <c r="B344">
        <f>IF(ROW()=2,1,IF(A343&lt;&gt;Toss[[#This Row],[No]],1,B343+1))</f>
        <v>4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232</v>
      </c>
      <c r="K344" s="1" t="s">
        <v>233</v>
      </c>
      <c r="L344" s="1" t="s">
        <v>162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ユニフォーム夏瀬伊吹ICONIC</v>
      </c>
    </row>
    <row r="345" spans="1:20" x14ac:dyDescent="0.35">
      <c r="A345">
        <f>VLOOKUP(Toss[[#This Row],[No用]],SetNo[[No.用]:[vlookup 用]],2,FALSE)</f>
        <v>115</v>
      </c>
      <c r="B345">
        <f>IF(ROW()=2,1,IF(A344&lt;&gt;Toss[[#This Row],[No]],1,B344+1))</f>
        <v>5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232</v>
      </c>
      <c r="K345" s="1" t="s">
        <v>183</v>
      </c>
      <c r="L345" s="1" t="s">
        <v>225</v>
      </c>
      <c r="M345">
        <v>44</v>
      </c>
      <c r="N345">
        <v>0</v>
      </c>
      <c r="O345">
        <v>54</v>
      </c>
      <c r="P345">
        <v>0</v>
      </c>
      <c r="T345" t="str">
        <f>Toss[[#This Row],[服装]]&amp;Toss[[#This Row],[名前]]&amp;Toss[[#This Row],[レアリティ]]</f>
        <v>ユニフォーム夏瀬伊吹ICONIC</v>
      </c>
    </row>
    <row r="346" spans="1:20" x14ac:dyDescent="0.35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s="1" t="s">
        <v>108</v>
      </c>
      <c r="D347" s="1" t="s">
        <v>1159</v>
      </c>
      <c r="E347" s="1" t="s">
        <v>28</v>
      </c>
      <c r="F347" s="1" t="s">
        <v>31</v>
      </c>
      <c r="G347" s="1" t="s">
        <v>64</v>
      </c>
      <c r="H347" s="1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ユニフォーム秋宮昇ICONIC</v>
      </c>
    </row>
    <row r="348" spans="1:20" x14ac:dyDescent="0.35">
      <c r="A348">
        <f>VLOOKUP(Toss[[#This Row],[No用]],SetNo[[No.用]:[vlookup 用]],2,FALSE)</f>
        <v>116</v>
      </c>
      <c r="B348">
        <f>IF(ROW()=2,1,IF(A347&lt;&gt;Toss[[#This Row],[No]],1,B347+1))</f>
        <v>3</v>
      </c>
      <c r="C348" s="1" t="s">
        <v>108</v>
      </c>
      <c r="D348" s="1" t="s">
        <v>1159</v>
      </c>
      <c r="E348" s="1" t="s">
        <v>28</v>
      </c>
      <c r="F348" s="1" t="s">
        <v>31</v>
      </c>
      <c r="G348" s="1" t="s">
        <v>64</v>
      </c>
      <c r="H348" s="1" t="s">
        <v>71</v>
      </c>
      <c r="I348">
        <v>1</v>
      </c>
      <c r="J348" t="s">
        <v>232</v>
      </c>
      <c r="K348" s="1" t="s">
        <v>181</v>
      </c>
      <c r="L348" s="1" t="s">
        <v>173</v>
      </c>
      <c r="M348">
        <v>40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ユニフォーム秋宮昇ICONIC</v>
      </c>
    </row>
    <row r="349" spans="1:20" x14ac:dyDescent="0.35">
      <c r="A349">
        <f>VLOOKUP(Toss[[#This Row],[No用]],SetNo[[No.用]:[vlookup 用]],2,FALSE)</f>
        <v>116</v>
      </c>
      <c r="B349">
        <f>IF(ROW()=2,1,IF(A348&lt;&gt;Toss[[#This Row],[No]],1,B348+1))</f>
        <v>4</v>
      </c>
      <c r="C349" s="1" t="s">
        <v>108</v>
      </c>
      <c r="D349" s="1" t="s">
        <v>1159</v>
      </c>
      <c r="E349" s="1" t="s">
        <v>28</v>
      </c>
      <c r="F349" s="1" t="s">
        <v>31</v>
      </c>
      <c r="G349" s="1" t="s">
        <v>64</v>
      </c>
      <c r="H349" s="1" t="s">
        <v>71</v>
      </c>
      <c r="I349">
        <v>1</v>
      </c>
      <c r="J349" t="s">
        <v>232</v>
      </c>
      <c r="K349" s="1" t="s">
        <v>172</v>
      </c>
      <c r="L349" s="1" t="s">
        <v>162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ユニフォーム秋宮昇ICONIC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5</v>
      </c>
      <c r="C350" s="1" t="s">
        <v>108</v>
      </c>
      <c r="D350" s="1" t="s">
        <v>1159</v>
      </c>
      <c r="E350" s="1" t="s">
        <v>28</v>
      </c>
      <c r="F350" s="1" t="s">
        <v>31</v>
      </c>
      <c r="G350" s="1" t="s">
        <v>64</v>
      </c>
      <c r="H350" s="1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ユニフォーム秋宮昇ICONIC</v>
      </c>
    </row>
    <row r="351" spans="1:20" x14ac:dyDescent="0.35">
      <c r="A351">
        <f>VLOOKUP(Toss[[#This Row],[No用]],SetNo[[No.用]:[vlookup 用]],2,FALSE)</f>
        <v>116</v>
      </c>
      <c r="B351">
        <f>IF(ROW()=2,1,IF(A350&lt;&gt;Toss[[#This Row],[No]],1,B350+1))</f>
        <v>6</v>
      </c>
      <c r="C351" s="1" t="s">
        <v>108</v>
      </c>
      <c r="D351" s="1" t="s">
        <v>1159</v>
      </c>
      <c r="E351" s="1" t="s">
        <v>28</v>
      </c>
      <c r="F351" s="1" t="s">
        <v>31</v>
      </c>
      <c r="G351" s="1" t="s">
        <v>64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ユニフォーム秋宮昇ICONIC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72</v>
      </c>
      <c r="E352" t="s">
        <v>23</v>
      </c>
      <c r="F352" t="s">
        <v>31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ユニフォーム古牧譲ICONIC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72</v>
      </c>
      <c r="E353" t="s">
        <v>23</v>
      </c>
      <c r="F353" t="s">
        <v>31</v>
      </c>
      <c r="G353" t="s">
        <v>75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ユニフォーム古牧譲ICONIC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3</v>
      </c>
      <c r="C354" t="s">
        <v>206</v>
      </c>
      <c r="D354" t="s">
        <v>72</v>
      </c>
      <c r="E354" t="s">
        <v>23</v>
      </c>
      <c r="F354" t="s">
        <v>31</v>
      </c>
      <c r="G354" t="s">
        <v>75</v>
      </c>
      <c r="H354" t="s">
        <v>71</v>
      </c>
      <c r="I354">
        <v>1</v>
      </c>
      <c r="J354" t="s">
        <v>232</v>
      </c>
      <c r="K354" s="1" t="s">
        <v>172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ユニフォーム古牧譲ICONIC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4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232</v>
      </c>
      <c r="K355" s="1" t="s">
        <v>233</v>
      </c>
      <c r="L355" s="1" t="s">
        <v>162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ユニフォーム古牧譲ICONIC</v>
      </c>
    </row>
    <row r="356" spans="1:20" x14ac:dyDescent="0.35">
      <c r="A356">
        <f>VLOOKUP(Toss[[#This Row],[No用]],SetNo[[No.用]:[vlookup 用]],2,FALSE)</f>
        <v>117</v>
      </c>
      <c r="B356">
        <f>IF(ROW()=2,1,IF(A355&lt;&gt;Toss[[#This Row],[No]],1,B355+1))</f>
        <v>5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T356" t="str">
        <f>Toss[[#This Row],[服装]]&amp;Toss[[#This Row],[名前]]&amp;Toss[[#This Row],[レアリティ]]</f>
        <v>ユニフォーム古牧譲ICONIC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1</v>
      </c>
      <c r="C357" s="1" t="s">
        <v>959</v>
      </c>
      <c r="D357" t="s">
        <v>72</v>
      </c>
      <c r="E357" s="1" t="s">
        <v>90</v>
      </c>
      <c r="F357" t="s">
        <v>74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雪遊び古牧譲ICONIC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2</v>
      </c>
      <c r="C358" s="1" t="s">
        <v>959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雪遊び古牧譲ICONIC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3</v>
      </c>
      <c r="C359" s="1" t="s">
        <v>959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232</v>
      </c>
      <c r="K359" s="1" t="s">
        <v>172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雪遊び古牧譲ICONIC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4</v>
      </c>
      <c r="C360" s="1" t="s">
        <v>959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232</v>
      </c>
      <c r="K360" s="1" t="s">
        <v>233</v>
      </c>
      <c r="L360" s="1" t="s">
        <v>178</v>
      </c>
      <c r="M360">
        <v>37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雪遊び古牧譲ICONIC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5</v>
      </c>
      <c r="C361" s="1" t="s">
        <v>959</v>
      </c>
      <c r="D361" t="s">
        <v>72</v>
      </c>
      <c r="E361" s="1" t="s">
        <v>90</v>
      </c>
      <c r="F361" t="s">
        <v>74</v>
      </c>
      <c r="G361" t="s">
        <v>75</v>
      </c>
      <c r="H361" t="s">
        <v>71</v>
      </c>
      <c r="I361">
        <v>1</v>
      </c>
      <c r="J361" t="s">
        <v>232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T361" t="str">
        <f>Toss[[#This Row],[服装]]&amp;Toss[[#This Row],[名前]]&amp;Toss[[#This Row],[レアリティ]]</f>
        <v>雪遊び古牧譲ICONIC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ユニフォーム浅虫快人ICONIC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ユニフォーム浅虫快人ICONIC</v>
      </c>
    </row>
    <row r="364" spans="1:20" x14ac:dyDescent="0.35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206</v>
      </c>
      <c r="D364" t="s">
        <v>79</v>
      </c>
      <c r="E364" t="s">
        <v>23</v>
      </c>
      <c r="F364" t="s">
        <v>21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ユニフォーム南田大志ICONIC</v>
      </c>
    </row>
    <row r="365" spans="1:20" x14ac:dyDescent="0.35">
      <c r="A365">
        <f>VLOOKUP(Toss[[#This Row],[No用]],SetNo[[No.用]:[vlookup 用]],2,FALSE)</f>
        <v>121</v>
      </c>
      <c r="B365">
        <f>IF(ROW()=2,1,IF(A364&lt;&gt;Toss[[#This Row],[No]],1,B364+1))</f>
        <v>1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 s="1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ユニフォーム湯川良明ICONIC</v>
      </c>
    </row>
    <row r="366" spans="1:20" x14ac:dyDescent="0.35">
      <c r="A366">
        <f>VLOOKUP(Toss[[#This Row],[No用]],SetNo[[No.用]:[vlookup 用]],2,FALSE)</f>
        <v>121</v>
      </c>
      <c r="B366">
        <f>IF(ROW()=2,1,IF(A365&lt;&gt;Toss[[#This Row],[No]],1,B365+1))</f>
        <v>2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ユニフォーム湯川良明ICONIC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1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ユニフォーム稲垣功ICONIC</v>
      </c>
    </row>
    <row r="368" spans="1:20" x14ac:dyDescent="0.35">
      <c r="A368">
        <f>VLOOKUP(Toss[[#This Row],[No用]],SetNo[[No.用]:[vlookup 用]],2,FALSE)</f>
        <v>122</v>
      </c>
      <c r="B368">
        <f>IF(ROW()=2,1,IF(A367&lt;&gt;Toss[[#This Row],[No]],1,B367+1))</f>
        <v>2</v>
      </c>
      <c r="C368" t="s">
        <v>206</v>
      </c>
      <c r="D368" t="s">
        <v>83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ユニフォーム稲垣功ICONIC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ユニフォーム馬門英治ICONIC</v>
      </c>
    </row>
    <row r="370" spans="1:20" x14ac:dyDescent="0.35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ユニフォーム馬門英治ICONIC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ユニフォーム百沢雄大ICONIC</v>
      </c>
    </row>
    <row r="372" spans="1:20" x14ac:dyDescent="0.35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ユニフォーム百沢雄大ICONIC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s="1" t="s">
        <v>702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職業体験百沢雄大ICONIC</v>
      </c>
    </row>
    <row r="374" spans="1:20" x14ac:dyDescent="0.35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s="1" t="s">
        <v>702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職業体験百沢雄大ICONIC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ユニフォーム照島游児ICONIC</v>
      </c>
    </row>
    <row r="376" spans="1:20" x14ac:dyDescent="0.35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ユニフォーム照島游児ICONIC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制服照島游児ICONIC</v>
      </c>
    </row>
    <row r="378" spans="1:20" x14ac:dyDescent="0.35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制服照島游児ICONIC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1</v>
      </c>
      <c r="C379" s="1" t="s">
        <v>959</v>
      </c>
      <c r="D379" t="s">
        <v>89</v>
      </c>
      <c r="E379" s="1" t="s">
        <v>960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雪遊び照島游児ICONIC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2</v>
      </c>
      <c r="C380" s="1" t="s">
        <v>959</v>
      </c>
      <c r="D380" t="s">
        <v>89</v>
      </c>
      <c r="E380" s="1" t="s">
        <v>960</v>
      </c>
      <c r="F380" t="s">
        <v>78</v>
      </c>
      <c r="G380" t="s">
        <v>91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雪遊び照島游児ICONIC</v>
      </c>
    </row>
    <row r="381" spans="1:20" x14ac:dyDescent="0.35">
      <c r="A381">
        <f>VLOOKUP(Toss[[#This Row],[No用]],SetNo[[No.用]:[vlookup 用]],2,FALSE)</f>
        <v>129</v>
      </c>
      <c r="B381">
        <f>IF(ROW()=2,1,IF(A380&lt;&gt;Toss[[#This Row],[No]],1,B380+1))</f>
        <v>1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ユニフォーム母畑和馬ICONIC</v>
      </c>
    </row>
    <row r="382" spans="1:20" x14ac:dyDescent="0.35">
      <c r="A382">
        <f>VLOOKUP(Toss[[#This Row],[No用]],SetNo[[No.用]:[vlookup 用]],2,FALSE)</f>
        <v>129</v>
      </c>
      <c r="B382">
        <f>IF(ROW()=2,1,IF(A381&lt;&gt;Toss[[#This Row],[No]],1,B381+1))</f>
        <v>2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ユニフォーム母畑和馬ICONIC</v>
      </c>
    </row>
    <row r="383" spans="1:20" x14ac:dyDescent="0.35">
      <c r="A383">
        <f>VLOOKUP(Toss[[#This Row],[No用]],SetNo[[No.用]:[vlookup 用]],2,FALSE)</f>
        <v>130</v>
      </c>
      <c r="B383">
        <f>IF(ROW()=2,1,IF(A382&lt;&gt;Toss[[#This Row],[No]],1,B382+1))</f>
        <v>1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130</v>
      </c>
      <c r="B384">
        <f>IF(ROW()=2,1,IF(A383&lt;&gt;Toss[[#This Row],[No]],1,B383+1))</f>
        <v>2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130</v>
      </c>
      <c r="B385">
        <f>IF(ROW()=2,1,IF(A384&lt;&gt;Toss[[#This Row],[No]],1,B384+1))</f>
        <v>3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181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ユニフォーム二岐丈晴ICONIC</v>
      </c>
    </row>
    <row r="386" spans="1:20" x14ac:dyDescent="0.35">
      <c r="A386">
        <f>VLOOKUP(Toss[[#This Row],[No用]],SetNo[[No.用]:[vlookup 用]],2,FALSE)</f>
        <v>130</v>
      </c>
      <c r="B386">
        <f>IF(ROW()=2,1,IF(A385&lt;&gt;Toss[[#This Row],[No]],1,B385+1))</f>
        <v>4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385</v>
      </c>
      <c r="L386" s="1" t="s">
        <v>173</v>
      </c>
      <c r="M386">
        <v>43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ユニフォーム二岐丈晴ICONIC</v>
      </c>
    </row>
    <row r="387" spans="1:20" x14ac:dyDescent="0.35">
      <c r="A387">
        <f>VLOOKUP(Toss[[#This Row],[No用]],SetNo[[No.用]:[vlookup 用]],2,FALSE)</f>
        <v>130</v>
      </c>
      <c r="B387">
        <f>IF(ROW()=2,1,IF(A386&lt;&gt;Toss[[#This Row],[No]],1,B386+1))</f>
        <v>5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ユニフォーム二岐丈晴ICONIC</v>
      </c>
    </row>
    <row r="388" spans="1:20" x14ac:dyDescent="0.35">
      <c r="A388">
        <f>VLOOKUP(Toss[[#This Row],[No用]],SetNo[[No.用]:[vlookup 用]],2,FALSE)</f>
        <v>130</v>
      </c>
      <c r="B388">
        <f>IF(ROW()=2,1,IF(A387&lt;&gt;Toss[[#This Row],[No]],1,B387+1))</f>
        <v>6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ユニフォーム二岐丈晴ICONIC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7</v>
      </c>
      <c r="C389" t="s">
        <v>108</v>
      </c>
      <c r="D389" t="s">
        <v>93</v>
      </c>
      <c r="E389" t="s">
        <v>73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182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Toss[[#This Row],[服装]]&amp;Toss[[#This Row],[名前]]&amp;Toss[[#This Row],[レアリティ]]</f>
        <v>ユニフォーム二岐丈晴ICONIC</v>
      </c>
    </row>
    <row r="390" spans="1:20" x14ac:dyDescent="0.35">
      <c r="A390">
        <f>VLOOKUP(Toss[[#This Row],[No用]],SetNo[[No.用]:[vlookup 用]],2,FALSE)</f>
        <v>131</v>
      </c>
      <c r="B390">
        <f>IF(ROW()=2,1,IF(A389&lt;&gt;Toss[[#This Row],[No]],1,B389+1))</f>
        <v>1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166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2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3</v>
      </c>
      <c r="C392" t="s">
        <v>149</v>
      </c>
      <c r="D392" t="s">
        <v>93</v>
      </c>
      <c r="E392" t="s">
        <v>90</v>
      </c>
      <c r="F392" t="s">
        <v>74</v>
      </c>
      <c r="G392" t="s">
        <v>91</v>
      </c>
      <c r="H392" t="s">
        <v>71</v>
      </c>
      <c r="I392">
        <v>1</v>
      </c>
      <c r="J392" t="s">
        <v>232</v>
      </c>
      <c r="K392" s="1" t="s">
        <v>181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制服二岐丈晴ICONIC</v>
      </c>
    </row>
    <row r="393" spans="1:20" x14ac:dyDescent="0.35">
      <c r="A393">
        <f>VLOOKUP(Toss[[#This Row],[No用]],SetNo[[No.用]:[vlookup 用]],2,FALSE)</f>
        <v>131</v>
      </c>
      <c r="B393">
        <f>IF(ROW()=2,1,IF(A392&lt;&gt;Toss[[#This Row],[No]],1,B392+1))</f>
        <v>4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385</v>
      </c>
      <c r="L393" s="1" t="s">
        <v>173</v>
      </c>
      <c r="M393">
        <v>43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制服二岐丈晴ICONIC</v>
      </c>
    </row>
    <row r="394" spans="1:20" x14ac:dyDescent="0.35">
      <c r="A394">
        <f>VLOOKUP(Toss[[#This Row],[No用]],SetNo[[No.用]:[vlookup 用]],2,FALSE)</f>
        <v>131</v>
      </c>
      <c r="B394">
        <f>IF(ROW()=2,1,IF(A393&lt;&gt;Toss[[#This Row],[No]],1,B393+1))</f>
        <v>5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233</v>
      </c>
      <c r="L394" s="1" t="s">
        <v>178</v>
      </c>
      <c r="M394">
        <v>37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制服二岐丈晴ICONIC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6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385</v>
      </c>
      <c r="L395" s="1" t="s">
        <v>225</v>
      </c>
      <c r="M395">
        <v>47</v>
      </c>
      <c r="N395">
        <v>0</v>
      </c>
      <c r="O395">
        <v>57</v>
      </c>
      <c r="P395">
        <v>0</v>
      </c>
      <c r="T395" t="str">
        <f>Toss[[#This Row],[服装]]&amp;Toss[[#This Row],[名前]]&amp;Toss[[#This Row],[レアリティ]]</f>
        <v>制服二岐丈晴ICONIC</v>
      </c>
    </row>
    <row r="396" spans="1:20" x14ac:dyDescent="0.35">
      <c r="A396">
        <f>VLOOKUP(Toss[[#This Row],[No用]],SetNo[[No.用]:[vlookup 用]],2,FALSE)</f>
        <v>131</v>
      </c>
      <c r="B396">
        <f>IF(ROW()=2,1,IF(A395&lt;&gt;Toss[[#This Row],[No]],1,B395+1))</f>
        <v>7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233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T396" t="str">
        <f>Toss[[#This Row],[服装]]&amp;Toss[[#This Row],[名前]]&amp;Toss[[#This Row],[レアリティ]]</f>
        <v>制服二岐丈晴ICONIC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1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ユニフォーム沼尻凛太郎ICONIC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2</v>
      </c>
      <c r="C398" t="s">
        <v>108</v>
      </c>
      <c r="D398" t="s">
        <v>99</v>
      </c>
      <c r="E398" t="s">
        <v>73</v>
      </c>
      <c r="F398" t="s">
        <v>78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ユニフォーム沼尻凛太郎ICONIC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ユニフォーム飯坂信義ICONIC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ユニフォーム飯坂信義ICONIC</v>
      </c>
    </row>
    <row r="401" spans="1:20" x14ac:dyDescent="0.35">
      <c r="A401">
        <f>VLOOKUP(Toss[[#This Row],[No用]],SetNo[[No.用]:[vlookup 用]],2,FALSE)</f>
        <v>134</v>
      </c>
      <c r="B401">
        <f>IF(ROW()=2,1,IF(A400&lt;&gt;Toss[[#This Row],[No]],1,B400+1))</f>
        <v>1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ユニフォーム東山勝道ICONIC</v>
      </c>
    </row>
    <row r="402" spans="1:20" x14ac:dyDescent="0.35">
      <c r="A402">
        <f>VLOOKUP(Toss[[#This Row],[No用]],SetNo[[No.用]:[vlookup 用]],2,FALSE)</f>
        <v>134</v>
      </c>
      <c r="B402">
        <f>IF(ROW()=2,1,IF(A401&lt;&gt;Toss[[#This Row],[No]],1,B401+1))</f>
        <v>2</v>
      </c>
      <c r="C402" t="s">
        <v>108</v>
      </c>
      <c r="D402" t="s">
        <v>95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ユニフォーム東山勝道ICONIC</v>
      </c>
    </row>
    <row r="403" spans="1:20" x14ac:dyDescent="0.35">
      <c r="A403">
        <f>VLOOKUP(Toss[[#This Row],[No用]],SetNo[[No.用]:[vlookup 用]],2,FALSE)</f>
        <v>135</v>
      </c>
      <c r="B403">
        <f>IF(ROW()=2,1,IF(A402&lt;&gt;Toss[[#This Row],[No]],1,B402+1))</f>
        <v>1</v>
      </c>
      <c r="C403" t="s">
        <v>108</v>
      </c>
      <c r="D403" t="s">
        <v>96</v>
      </c>
      <c r="E403" t="s">
        <v>90</v>
      </c>
      <c r="F403" t="s">
        <v>80</v>
      </c>
      <c r="G403" t="s">
        <v>91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ユニフォーム土湯新ICONIC</v>
      </c>
    </row>
    <row r="404" spans="1:20" x14ac:dyDescent="0.35">
      <c r="A404">
        <f>VLOOKUP(Toss[[#This Row],[No用]],SetNo[[No.用]:[vlookup 用]],2,FALSE)</f>
        <v>136</v>
      </c>
      <c r="B404">
        <f>IF(ROW()=2,1,IF(A403&lt;&gt;Toss[[#This Row],[No]],1,B403+1))</f>
        <v>1</v>
      </c>
      <c r="C404" t="s">
        <v>206</v>
      </c>
      <c r="D404" t="s">
        <v>569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ユニフォーム中島猛ICONIC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2</v>
      </c>
      <c r="C405" t="s">
        <v>206</v>
      </c>
      <c r="D405" t="s">
        <v>569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ユニフォーム中島猛ICONIC</v>
      </c>
    </row>
    <row r="406" spans="1:20" x14ac:dyDescent="0.35">
      <c r="A406">
        <f>VLOOKUP(Toss[[#This Row],[No用]],SetNo[[No.用]:[vlookup 用]],2,FALSE)</f>
        <v>137</v>
      </c>
      <c r="B406">
        <f>IF(ROW()=2,1,IF(A405&lt;&gt;Toss[[#This Row],[No]],1,B405+1))</f>
        <v>1</v>
      </c>
      <c r="C406" t="s">
        <v>206</v>
      </c>
      <c r="D406" t="s">
        <v>572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ユニフォーム白石優希ICONIC</v>
      </c>
    </row>
    <row r="407" spans="1:20" x14ac:dyDescent="0.35">
      <c r="A407">
        <f>VLOOKUP(Toss[[#This Row],[No用]],SetNo[[No.用]:[vlookup 用]],2,FALSE)</f>
        <v>137</v>
      </c>
      <c r="B407">
        <f>IF(ROW()=2,1,IF(A406&lt;&gt;Toss[[#This Row],[No]],1,B406+1))</f>
        <v>2</v>
      </c>
      <c r="C407" t="s">
        <v>206</v>
      </c>
      <c r="D407" t="s">
        <v>572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ユニフォーム白石優希ICONIC</v>
      </c>
    </row>
    <row r="408" spans="1:20" x14ac:dyDescent="0.35">
      <c r="A408">
        <f>VLOOKUP(Toss[[#This Row],[No用]],SetNo[[No.用]:[vlookup 用]],2,FALSE)</f>
        <v>138</v>
      </c>
      <c r="B408">
        <f>IF(ROW()=2,1,IF(A407&lt;&gt;Toss[[#This Row],[No]],1,B407+1))</f>
        <v>1</v>
      </c>
      <c r="C408" t="s">
        <v>206</v>
      </c>
      <c r="D408" t="s">
        <v>575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173</v>
      </c>
      <c r="M408">
        <v>37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ユニフォーム花山一雅ICONIC</v>
      </c>
    </row>
    <row r="409" spans="1:20" x14ac:dyDescent="0.35">
      <c r="A409">
        <f>VLOOKUP(Toss[[#This Row],[No用]],SetNo[[No.用]:[vlookup 用]],2,FALSE)</f>
        <v>138</v>
      </c>
      <c r="B409">
        <f>IF(ROW()=2,1,IF(A408&lt;&gt;Toss[[#This Row],[No]],1,B408+1))</f>
        <v>2</v>
      </c>
      <c r="C409" t="s">
        <v>206</v>
      </c>
      <c r="D409" t="s">
        <v>575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232</v>
      </c>
      <c r="K409" s="1" t="s">
        <v>169</v>
      </c>
      <c r="L409" s="1" t="s">
        <v>173</v>
      </c>
      <c r="M409">
        <v>37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ユニフォーム花山一雅ICONIC</v>
      </c>
    </row>
    <row r="410" spans="1:20" x14ac:dyDescent="0.35">
      <c r="A410">
        <f>VLOOKUP(Toss[[#This Row],[No用]],SetNo[[No.用]:[vlookup 用]],2,FALSE)</f>
        <v>138</v>
      </c>
      <c r="B410">
        <f>IF(ROW()=2,1,IF(A409&lt;&gt;Toss[[#This Row],[No]],1,B409+1))</f>
        <v>3</v>
      </c>
      <c r="C410" t="s">
        <v>206</v>
      </c>
      <c r="D410" t="s">
        <v>575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232</v>
      </c>
      <c r="K410" s="1" t="s">
        <v>172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ユニフォーム花山一雅ICONIC</v>
      </c>
    </row>
    <row r="411" spans="1:20" x14ac:dyDescent="0.35">
      <c r="A411">
        <f>VLOOKUP(Toss[[#This Row],[No用]],SetNo[[No.用]:[vlookup 用]],2,FALSE)</f>
        <v>138</v>
      </c>
      <c r="B411">
        <f>IF(ROW()=2,1,IF(A410&lt;&gt;Toss[[#This Row],[No]],1,B410+1))</f>
        <v>4</v>
      </c>
      <c r="C411" t="s">
        <v>206</v>
      </c>
      <c r="D411" t="s">
        <v>575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232</v>
      </c>
      <c r="K411" s="1" t="s">
        <v>233</v>
      </c>
      <c r="L411" s="1" t="s">
        <v>162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ユニフォーム花山一雅ICONIC</v>
      </c>
    </row>
    <row r="412" spans="1:20" x14ac:dyDescent="0.35">
      <c r="A412">
        <f>VLOOKUP(Toss[[#This Row],[No用]],SetNo[[No.用]:[vlookup 用]],2,FALSE)</f>
        <v>138</v>
      </c>
      <c r="B412">
        <f>IF(ROW()=2,1,IF(A411&lt;&gt;Toss[[#This Row],[No]],1,B411+1))</f>
        <v>5</v>
      </c>
      <c r="C412" t="s">
        <v>206</v>
      </c>
      <c r="D412" t="s">
        <v>575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232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Toss[[#This Row],[服装]]&amp;Toss[[#This Row],[名前]]&amp;Toss[[#This Row],[レアリティ]]</f>
        <v>ユニフォーム花山一雅ICONIC</v>
      </c>
    </row>
    <row r="413" spans="1:20" x14ac:dyDescent="0.35">
      <c r="A413">
        <f>VLOOKUP(Toss[[#This Row],[No用]],SetNo[[No.用]:[vlookup 用]],2,FALSE)</f>
        <v>139</v>
      </c>
      <c r="B413">
        <f>IF(ROW()=2,1,IF(A412&lt;&gt;Toss[[#This Row],[No]],1,B412+1))</f>
        <v>1</v>
      </c>
      <c r="C413" t="s">
        <v>206</v>
      </c>
      <c r="D413" t="s">
        <v>578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ユニフォーム鳴子哲平ICONIC</v>
      </c>
    </row>
    <row r="414" spans="1:20" x14ac:dyDescent="0.35">
      <c r="A414">
        <f>VLOOKUP(Toss[[#This Row],[No用]],SetNo[[No.用]:[vlookup 用]],2,FALSE)</f>
        <v>139</v>
      </c>
      <c r="B414">
        <f>IF(ROW()=2,1,IF(A413&lt;&gt;Toss[[#This Row],[No]],1,B413+1))</f>
        <v>2</v>
      </c>
      <c r="C414" t="s">
        <v>206</v>
      </c>
      <c r="D414" t="s">
        <v>578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ユニフォーム鳴子哲平ICONIC</v>
      </c>
    </row>
    <row r="415" spans="1:20" x14ac:dyDescent="0.35">
      <c r="A415">
        <f>VLOOKUP(Toss[[#This Row],[No用]],SetNo[[No.用]:[vlookup 用]],2,FALSE)</f>
        <v>140</v>
      </c>
      <c r="B415">
        <f>IF(ROW()=2,1,IF(A414&lt;&gt;Toss[[#This Row],[No]],1,B414+1))</f>
        <v>1</v>
      </c>
      <c r="C415" t="s">
        <v>206</v>
      </c>
      <c r="D415" t="s">
        <v>581</v>
      </c>
      <c r="E415" t="s">
        <v>28</v>
      </c>
      <c r="F415" t="s">
        <v>21</v>
      </c>
      <c r="G415" t="s">
        <v>156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ユニフォーム秋保和光ICONIC</v>
      </c>
    </row>
    <row r="416" spans="1:20" x14ac:dyDescent="0.35">
      <c r="A416">
        <f>VLOOKUP(Toss[[#This Row],[No用]],SetNo[[No.用]:[vlookup 用]],2,FALSE)</f>
        <v>141</v>
      </c>
      <c r="B416">
        <f>IF(ROW()=2,1,IF(A415&lt;&gt;Toss[[#This Row],[No]],1,B415+1))</f>
        <v>1</v>
      </c>
      <c r="C416" t="s">
        <v>206</v>
      </c>
      <c r="D416" t="s">
        <v>584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ユニフォーム松島剛ICONIC</v>
      </c>
    </row>
    <row r="417" spans="1:20" x14ac:dyDescent="0.35">
      <c r="A417">
        <f>VLOOKUP(Toss[[#This Row],[No用]],SetNo[[No.用]:[vlookup 用]],2,FALSE)</f>
        <v>141</v>
      </c>
      <c r="B417">
        <f>IF(ROW()=2,1,IF(A416&lt;&gt;Toss[[#This Row],[No]],1,B416+1))</f>
        <v>2</v>
      </c>
      <c r="C417" t="s">
        <v>206</v>
      </c>
      <c r="D417" t="s">
        <v>584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ユニフォーム松島剛ICONIC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1</v>
      </c>
      <c r="C418" t="s">
        <v>206</v>
      </c>
      <c r="D418" t="s">
        <v>587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ユニフォーム川渡瞬己ICONIC</v>
      </c>
    </row>
    <row r="419" spans="1:20" x14ac:dyDescent="0.35">
      <c r="A419">
        <f>VLOOKUP(Toss[[#This Row],[No用]],SetNo[[No.用]:[vlookup 用]],2,FALSE)</f>
        <v>142</v>
      </c>
      <c r="B419">
        <f>IF(ROW()=2,1,IF(A418&lt;&gt;Toss[[#This Row],[No]],1,B418+1))</f>
        <v>2</v>
      </c>
      <c r="C419" t="s">
        <v>206</v>
      </c>
      <c r="D419" t="s">
        <v>587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ユニフォーム川渡瞬己ICONIC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1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ユニフォーム牛島若利ICONIC</v>
      </c>
    </row>
    <row r="421" spans="1:20" x14ac:dyDescent="0.35">
      <c r="A421">
        <f>VLOOKUP(Toss[[#This Row],[No用]],SetNo[[No.用]:[vlookup 用]],2,FALSE)</f>
        <v>143</v>
      </c>
      <c r="B421">
        <f>IF(ROW()=2,1,IF(A420&lt;&gt;Toss[[#This Row],[No]],1,B420+1))</f>
        <v>2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30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ユニフォーム牛島若利ICONIC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1</v>
      </c>
      <c r="C422" t="s">
        <v>116</v>
      </c>
      <c r="D422" t="s">
        <v>109</v>
      </c>
      <c r="E422" t="s">
        <v>90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水着牛島若利ICONIC</v>
      </c>
    </row>
    <row r="423" spans="1:20" x14ac:dyDescent="0.35">
      <c r="A423">
        <f>VLOOKUP(Toss[[#This Row],[No用]],SetNo[[No.用]:[vlookup 用]],2,FALSE)</f>
        <v>144</v>
      </c>
      <c r="B423">
        <f>IF(ROW()=2,1,IF(A422&lt;&gt;Toss[[#This Row],[No]],1,B422+1))</f>
        <v>2</v>
      </c>
      <c r="C423" t="s">
        <v>116</v>
      </c>
      <c r="D423" t="s">
        <v>109</v>
      </c>
      <c r="E423" t="s">
        <v>90</v>
      </c>
      <c r="F423" t="s">
        <v>78</v>
      </c>
      <c r="G423" t="s">
        <v>118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水着牛島若利ICONIC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1</v>
      </c>
      <c r="C424" s="1" t="s">
        <v>935</v>
      </c>
      <c r="D424" t="s">
        <v>109</v>
      </c>
      <c r="E424" s="1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新年牛島若利ICONIC</v>
      </c>
    </row>
    <row r="425" spans="1:20" x14ac:dyDescent="0.35">
      <c r="A425">
        <f>VLOOKUP(Toss[[#This Row],[No用]],SetNo[[No.用]:[vlookup 用]],2,FALSE)</f>
        <v>145</v>
      </c>
      <c r="B425">
        <f>IF(ROW()=2,1,IF(A424&lt;&gt;Toss[[#This Row],[No]],1,B424+1))</f>
        <v>2</v>
      </c>
      <c r="C425" s="1" t="s">
        <v>935</v>
      </c>
      <c r="D425" t="s">
        <v>109</v>
      </c>
      <c r="E425" s="1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232</v>
      </c>
      <c r="K425" s="1" t="s">
        <v>167</v>
      </c>
      <c r="L425" s="1" t="s">
        <v>178</v>
      </c>
      <c r="M425">
        <v>33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新年牛島若利ICONIC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1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ユニフォーム天童覚ICONIC</v>
      </c>
    </row>
    <row r="427" spans="1:20" x14ac:dyDescent="0.35">
      <c r="A427">
        <f>VLOOKUP(Toss[[#This Row],[No用]],SetNo[[No.用]:[vlookup 用]],2,FALSE)</f>
        <v>146</v>
      </c>
      <c r="B427">
        <f>IF(ROW()=2,1,IF(A426&lt;&gt;Toss[[#This Row],[No]],1,B426+1))</f>
        <v>2</v>
      </c>
      <c r="C427" t="s">
        <v>108</v>
      </c>
      <c r="D427" t="s">
        <v>110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ユニフォーム天童覚ICONIC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1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水着天童覚ICONIC</v>
      </c>
    </row>
    <row r="429" spans="1:20" x14ac:dyDescent="0.35">
      <c r="A429">
        <f>VLOOKUP(Toss[[#This Row],[No用]],SetNo[[No.用]:[vlookup 用]],2,FALSE)</f>
        <v>147</v>
      </c>
      <c r="B429">
        <f>IF(ROW()=2,1,IF(A428&lt;&gt;Toss[[#This Row],[No]],1,B428+1))</f>
        <v>2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水着天童覚ICONIC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895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文化祭天童覚ICONIC</v>
      </c>
    </row>
    <row r="431" spans="1:20" x14ac:dyDescent="0.35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895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文化祭天童覚ICONIC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1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ユニフォーム五色工ICONIC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2</v>
      </c>
      <c r="C433" t="s">
        <v>108</v>
      </c>
      <c r="D433" t="s">
        <v>111</v>
      </c>
      <c r="E433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ユニフォーム五色工ICONIC</v>
      </c>
    </row>
    <row r="434" spans="1:20" x14ac:dyDescent="0.35">
      <c r="A434">
        <f>VLOOKUP(Toss[[#This Row],[No用]],SetNo[[No.用]:[vlookup 用]],2,FALSE)</f>
        <v>150</v>
      </c>
      <c r="B434">
        <f>IF(ROW()=2,1,IF(A433&lt;&gt;Toss[[#This Row],[No]],1,B433+1))</f>
        <v>1</v>
      </c>
      <c r="C434" s="1" t="s">
        <v>702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職業体験五色工ICONIC</v>
      </c>
    </row>
    <row r="435" spans="1:20" x14ac:dyDescent="0.35">
      <c r="A435">
        <f>VLOOKUP(Toss[[#This Row],[No用]],SetNo[[No.用]:[vlookup 用]],2,FALSE)</f>
        <v>150</v>
      </c>
      <c r="B435">
        <f>IF(ROW()=2,1,IF(A434&lt;&gt;Toss[[#This Row],[No]],1,B434+1))</f>
        <v>2</v>
      </c>
      <c r="C435" s="1" t="s">
        <v>702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職業体験五色工ICONIC</v>
      </c>
    </row>
    <row r="436" spans="1:20" x14ac:dyDescent="0.35">
      <c r="A436">
        <f>VLOOKUP(Toss[[#This Row],[No用]],SetNo[[No.用]:[vlookup 用]],2,FALSE)</f>
        <v>151</v>
      </c>
      <c r="B436">
        <f>IF(ROW()=2,1,IF(A435&lt;&gt;Toss[[#This Row],[No]],1,B435+1))</f>
        <v>1</v>
      </c>
      <c r="C436" t="s">
        <v>108</v>
      </c>
      <c r="D436" t="s">
        <v>112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t="s">
        <v>395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ユニフォーム白布賢二郎ICONIC</v>
      </c>
    </row>
    <row r="437" spans="1:20" x14ac:dyDescent="0.35">
      <c r="A437">
        <f>VLOOKUP(Toss[[#This Row],[No用]],SetNo[[No.用]:[vlookup 用]],2,FALSE)</f>
        <v>151</v>
      </c>
      <c r="B437">
        <f>IF(ROW()=2,1,IF(A436&lt;&gt;Toss[[#This Row],[No]],1,B436+1))</f>
        <v>2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t="s">
        <v>396</v>
      </c>
      <c r="L437" t="s">
        <v>276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ユニフォーム白布賢二郎ICONIC</v>
      </c>
    </row>
    <row r="438" spans="1:20" x14ac:dyDescent="0.35">
      <c r="A438">
        <f>VLOOKUP(Toss[[#This Row],[No用]],SetNo[[No.用]:[vlookup 用]],2,FALSE)</f>
        <v>151</v>
      </c>
      <c r="B438">
        <f>IF(ROW()=2,1,IF(A437&lt;&gt;Toss[[#This Row],[No]],1,B437+1))</f>
        <v>3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t="s">
        <v>399</v>
      </c>
      <c r="L438" t="s">
        <v>276</v>
      </c>
      <c r="M438">
        <v>36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ユニフォーム白布賢二郎ICONIC</v>
      </c>
    </row>
    <row r="439" spans="1:20" x14ac:dyDescent="0.35">
      <c r="A439">
        <f>VLOOKUP(Toss[[#This Row],[No用]],SetNo[[No.用]:[vlookup 用]],2,FALSE)</f>
        <v>151</v>
      </c>
      <c r="B439">
        <f>IF(ROW()=2,1,IF(A438&lt;&gt;Toss[[#This Row],[No]],1,B438+1))</f>
        <v>4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t="s">
        <v>400</v>
      </c>
      <c r="L439" s="1" t="s">
        <v>162</v>
      </c>
      <c r="M439">
        <v>34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ユニフォーム白布賢二郎ICONIC</v>
      </c>
    </row>
    <row r="440" spans="1:20" x14ac:dyDescent="0.35">
      <c r="A440">
        <f>VLOOKUP(Toss[[#This Row],[No用]],SetNo[[No.用]:[vlookup 用]],2,FALSE)</f>
        <v>151</v>
      </c>
      <c r="B440">
        <f>IF(ROW()=2,1,IF(A439&lt;&gt;Toss[[#This Row],[No]],1,B439+1))</f>
        <v>5</v>
      </c>
      <c r="C440" t="s">
        <v>108</v>
      </c>
      <c r="D440" t="s">
        <v>112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t="s">
        <v>401</v>
      </c>
      <c r="L440" t="s">
        <v>402</v>
      </c>
      <c r="M440">
        <v>49</v>
      </c>
      <c r="N440">
        <v>0</v>
      </c>
      <c r="O440">
        <v>59</v>
      </c>
      <c r="P440">
        <v>0</v>
      </c>
      <c r="T440" t="str">
        <f>Toss[[#This Row],[服装]]&amp;Toss[[#This Row],[名前]]&amp;Toss[[#This Row],[レアリティ]]</f>
        <v>ユニフォーム白布賢二郎ICONIC</v>
      </c>
    </row>
    <row r="441" spans="1:20" x14ac:dyDescent="0.35">
      <c r="A441">
        <f>VLOOKUP(Toss[[#This Row],[No用]],SetNo[[No.用]:[vlookup 用]],2,FALSE)</f>
        <v>152</v>
      </c>
      <c r="B441">
        <f>IF(ROW()=2,1,IF(A440&lt;&gt;Toss[[#This Row],[No]],1,B440+1))</f>
        <v>1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232</v>
      </c>
      <c r="K441" t="s">
        <v>395</v>
      </c>
      <c r="L441" t="s">
        <v>276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152</v>
      </c>
      <c r="B442">
        <f>IF(ROW()=2,1,IF(A441&lt;&gt;Toss[[#This Row],[No]],1,B441+1))</f>
        <v>2</v>
      </c>
      <c r="C442" t="s">
        <v>391</v>
      </c>
      <c r="D442" t="s">
        <v>392</v>
      </c>
      <c r="E442" t="s">
        <v>24</v>
      </c>
      <c r="F442" t="s">
        <v>31</v>
      </c>
      <c r="G442" t="s">
        <v>157</v>
      </c>
      <c r="H442" t="s">
        <v>71</v>
      </c>
      <c r="I442">
        <v>1</v>
      </c>
      <c r="J442" t="s">
        <v>232</v>
      </c>
      <c r="K442" t="s">
        <v>396</v>
      </c>
      <c r="L442" t="s">
        <v>276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探偵白布賢二郎ICONIC</v>
      </c>
    </row>
    <row r="443" spans="1:20" x14ac:dyDescent="0.35">
      <c r="A443">
        <f>VLOOKUP(Toss[[#This Row],[No用]],SetNo[[No.用]:[vlookup 用]],2,FALSE)</f>
        <v>152</v>
      </c>
      <c r="B443">
        <f>IF(ROW()=2,1,IF(A442&lt;&gt;Toss[[#This Row],[No]],1,B442+1))</f>
        <v>3</v>
      </c>
      <c r="C443" t="s">
        <v>391</v>
      </c>
      <c r="D443" t="s">
        <v>392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232</v>
      </c>
      <c r="K443" t="s">
        <v>397</v>
      </c>
      <c r="L443" t="s">
        <v>398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探偵白布賢二郎ICONIC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4</v>
      </c>
      <c r="C444" t="s">
        <v>391</v>
      </c>
      <c r="D444" t="s">
        <v>392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394</v>
      </c>
      <c r="K444" t="s">
        <v>399</v>
      </c>
      <c r="L444" t="s">
        <v>276</v>
      </c>
      <c r="M444">
        <v>36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探偵白布賢二郎ICONIC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5</v>
      </c>
      <c r="C445" t="s">
        <v>391</v>
      </c>
      <c r="D445" t="s">
        <v>392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394</v>
      </c>
      <c r="K445" t="s">
        <v>400</v>
      </c>
      <c r="L445" t="s">
        <v>398</v>
      </c>
      <c r="M445">
        <v>37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探偵白布賢二郎ICONIC</v>
      </c>
    </row>
    <row r="446" spans="1:20" x14ac:dyDescent="0.35">
      <c r="A446">
        <f>VLOOKUP(Toss[[#This Row],[No用]],SetNo[[No.用]:[vlookup 用]],2,FALSE)</f>
        <v>152</v>
      </c>
      <c r="B446">
        <f>IF(ROW()=2,1,IF(A445&lt;&gt;Toss[[#This Row],[No]],1,B445+1))</f>
        <v>6</v>
      </c>
      <c r="C446" t="s">
        <v>391</v>
      </c>
      <c r="D446" t="s">
        <v>392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394</v>
      </c>
      <c r="K446" t="s">
        <v>401</v>
      </c>
      <c r="L446" t="s">
        <v>402</v>
      </c>
      <c r="M446">
        <v>49</v>
      </c>
      <c r="N446">
        <v>0</v>
      </c>
      <c r="O446">
        <v>59</v>
      </c>
      <c r="P446">
        <v>0</v>
      </c>
      <c r="R446" s="1" t="s">
        <v>906</v>
      </c>
      <c r="T446" t="str">
        <f>Toss[[#This Row],[服装]]&amp;Toss[[#This Row],[名前]]&amp;Toss[[#This Row],[レアリティ]]</f>
        <v>探偵白布賢二郎ICONIC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1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394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ユニフォーム大平獅音ICONIC</v>
      </c>
    </row>
    <row r="448" spans="1:20" x14ac:dyDescent="0.35">
      <c r="A448">
        <f>VLOOKUP(Toss[[#This Row],[No用]],SetNo[[No.用]:[vlookup 用]],2,FALSE)</f>
        <v>153</v>
      </c>
      <c r="B448">
        <f>IF(ROW()=2,1,IF(A447&lt;&gt;Toss[[#This Row],[No]],1,B447+1))</f>
        <v>2</v>
      </c>
      <c r="C448" t="s">
        <v>108</v>
      </c>
      <c r="D448" t="s">
        <v>113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394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ユニフォーム大平獅音ICONIC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1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394</v>
      </c>
      <c r="K449" s="1" t="s">
        <v>166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ユニフォーム川西太一ICONIC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2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ユニフォーム川西太一ICONIC</v>
      </c>
    </row>
    <row r="451" spans="1:20" x14ac:dyDescent="0.35">
      <c r="A451">
        <f>VLOOKUP(Toss[[#This Row],[No用]],SetNo[[No.用]:[vlookup 用]],2,FALSE)</f>
        <v>155</v>
      </c>
      <c r="B451">
        <f>IF(ROW()=2,1,IF(A450&lt;&gt;Toss[[#This Row],[No]],1,B450+1))</f>
        <v>1</v>
      </c>
      <c r="C451" s="1" t="s">
        <v>1122</v>
      </c>
      <c r="D451" s="1" t="s">
        <v>114</v>
      </c>
      <c r="E451" s="1" t="s">
        <v>90</v>
      </c>
      <c r="F451" s="1" t="s">
        <v>82</v>
      </c>
      <c r="G451" s="1" t="s">
        <v>118</v>
      </c>
      <c r="H451" s="1" t="s">
        <v>71</v>
      </c>
      <c r="I451">
        <v>1</v>
      </c>
      <c r="J451" t="s">
        <v>394</v>
      </c>
      <c r="K451" s="1" t="s">
        <v>166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路地裏川西太一ICONIC</v>
      </c>
    </row>
    <row r="452" spans="1:20" x14ac:dyDescent="0.35">
      <c r="A452">
        <f>VLOOKUP(Toss[[#This Row],[No用]],SetNo[[No.用]:[vlookup 用]],2,FALSE)</f>
        <v>155</v>
      </c>
      <c r="B452">
        <f>IF(ROW()=2,1,IF(A451&lt;&gt;Toss[[#This Row],[No]],1,B451+1))</f>
        <v>2</v>
      </c>
      <c r="C452" s="1" t="s">
        <v>1122</v>
      </c>
      <c r="D452" s="1" t="s">
        <v>114</v>
      </c>
      <c r="E452" s="1" t="s">
        <v>90</v>
      </c>
      <c r="F452" s="1" t="s">
        <v>82</v>
      </c>
      <c r="G452" s="1" t="s">
        <v>118</v>
      </c>
      <c r="H452" s="1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路地裏川西太一ICONIC</v>
      </c>
    </row>
    <row r="453" spans="1:20" x14ac:dyDescent="0.35">
      <c r="A453">
        <f>VLOOKUP(Toss[[#This Row],[No用]],SetNo[[No.用]:[vlookup 用]],2,FALSE)</f>
        <v>156</v>
      </c>
      <c r="B453">
        <f>IF(ROW()=2,1,IF(A452&lt;&gt;Toss[[#This Row],[No]],1,B452+1))</f>
        <v>1</v>
      </c>
      <c r="C453" t="s">
        <v>108</v>
      </c>
      <c r="D453" s="1" t="s">
        <v>662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ユニフォーム瀬見英太ICONIC</v>
      </c>
    </row>
    <row r="454" spans="1:20" x14ac:dyDescent="0.35">
      <c r="A454">
        <f>VLOOKUP(Toss[[#This Row],[No用]],SetNo[[No.用]:[vlookup 用]],2,FALSE)</f>
        <v>156</v>
      </c>
      <c r="B454">
        <f>IF(ROW()=2,1,IF(A453&lt;&gt;Toss[[#This Row],[No]],1,B453+1))</f>
        <v>2</v>
      </c>
      <c r="C454" t="s">
        <v>108</v>
      </c>
      <c r="D454" s="1" t="s">
        <v>662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ユニフォーム瀬見英太ICONIC</v>
      </c>
    </row>
    <row r="455" spans="1:20" x14ac:dyDescent="0.35">
      <c r="A455">
        <f>VLOOKUP(Toss[[#This Row],[No用]],SetNo[[No.用]:[vlookup 用]],2,FALSE)</f>
        <v>156</v>
      </c>
      <c r="B455">
        <f>IF(ROW()=2,1,IF(A454&lt;&gt;Toss[[#This Row],[No]],1,B454+1))</f>
        <v>3</v>
      </c>
      <c r="C455" t="s">
        <v>108</v>
      </c>
      <c r="D455" s="1" t="s">
        <v>662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172</v>
      </c>
      <c r="L455" s="1" t="s">
        <v>173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ユニフォーム瀬見英太ICONIC</v>
      </c>
    </row>
    <row r="456" spans="1:20" x14ac:dyDescent="0.35">
      <c r="A456">
        <f>VLOOKUP(Toss[[#This Row],[No用]],SetNo[[No.用]:[vlookup 用]],2,FALSE)</f>
        <v>156</v>
      </c>
      <c r="B456">
        <f>IF(ROW()=2,1,IF(A455&lt;&gt;Toss[[#This Row],[No]],1,B455+1))</f>
        <v>4</v>
      </c>
      <c r="C456" t="s">
        <v>108</v>
      </c>
      <c r="D456" s="1" t="s">
        <v>662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385</v>
      </c>
      <c r="L456" s="1" t="s">
        <v>173</v>
      </c>
      <c r="M456">
        <v>45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ユニフォーム瀬見英太ICONIC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5</v>
      </c>
      <c r="C457" t="s">
        <v>108</v>
      </c>
      <c r="D457" s="1" t="s">
        <v>662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233</v>
      </c>
      <c r="L457" s="1" t="s">
        <v>162</v>
      </c>
      <c r="M457">
        <v>35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ユニフォーム瀬見英太ICONIC</v>
      </c>
    </row>
    <row r="458" spans="1:20" x14ac:dyDescent="0.35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166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s="1" t="s">
        <v>988</v>
      </c>
      <c r="D459" s="1" t="s">
        <v>662</v>
      </c>
      <c r="E459" s="1" t="s">
        <v>90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s="1" t="s">
        <v>169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雪遊び瀬見英太ICONIC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3</v>
      </c>
      <c r="C460" s="1" t="s">
        <v>988</v>
      </c>
      <c r="D460" s="1" t="s">
        <v>662</v>
      </c>
      <c r="E460" s="1" t="s">
        <v>90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s="1" t="s">
        <v>172</v>
      </c>
      <c r="L460" s="1" t="s">
        <v>173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雪遊び瀬見英太ICONIC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4</v>
      </c>
      <c r="C461" s="1" t="s">
        <v>988</v>
      </c>
      <c r="D461" s="1" t="s">
        <v>662</v>
      </c>
      <c r="E461" s="1" t="s">
        <v>90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s="1" t="s">
        <v>385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雪遊び瀬見英太ICONIC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5</v>
      </c>
      <c r="C462" s="1" t="s">
        <v>988</v>
      </c>
      <c r="D462" s="1" t="s">
        <v>662</v>
      </c>
      <c r="E462" s="1" t="s">
        <v>90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s="1" t="s">
        <v>233</v>
      </c>
      <c r="L462" s="1" t="s">
        <v>178</v>
      </c>
      <c r="M462">
        <v>38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雪遊び瀬見英太ICONIC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6</v>
      </c>
      <c r="C463" s="1" t="s">
        <v>988</v>
      </c>
      <c r="D463" s="1" t="s">
        <v>662</v>
      </c>
      <c r="E463" s="1" t="s">
        <v>90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Toss[[#This Row],[服装]]&amp;Toss[[#This Row],[名前]]&amp;Toss[[#This Row],[レアリティ]]</f>
        <v>雪遊び瀬見英太ICONIC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1</v>
      </c>
      <c r="C464" t="s">
        <v>108</v>
      </c>
      <c r="D464" t="s">
        <v>115</v>
      </c>
      <c r="E464" t="s">
        <v>73</v>
      </c>
      <c r="F464" t="s">
        <v>80</v>
      </c>
      <c r="G464" t="s">
        <v>118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ユニフォーム山形隼人ICONIC</v>
      </c>
    </row>
    <row r="465" spans="1:20" x14ac:dyDescent="0.35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173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169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ユニフォーム宮侑ICONIC</v>
      </c>
    </row>
    <row r="467" spans="1:20" x14ac:dyDescent="0.35">
      <c r="A467">
        <f>VLOOKUP(Toss[[#This Row],[No用]],SetNo[[No.用]:[vlookup 用]],2,FALSE)</f>
        <v>159</v>
      </c>
      <c r="B467">
        <f>IF(ROW()=2,1,IF(A466&lt;&gt;Toss[[#This Row],[No]],1,B466+1))</f>
        <v>3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181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ユニフォーム宮侑ICONIC</v>
      </c>
    </row>
    <row r="468" spans="1:20" x14ac:dyDescent="0.35">
      <c r="A468">
        <f>VLOOKUP(Toss[[#This Row],[No用]],SetNo[[No.用]:[vlookup 用]],2,FALSE)</f>
        <v>159</v>
      </c>
      <c r="B468">
        <f>IF(ROW()=2,1,IF(A467&lt;&gt;Toss[[#This Row],[No]],1,B467+1))</f>
        <v>4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233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ユニフォーム宮侑ICONIC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5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183</v>
      </c>
      <c r="L469" s="1" t="s">
        <v>225</v>
      </c>
      <c r="M469">
        <v>50</v>
      </c>
      <c r="N469">
        <v>0</v>
      </c>
      <c r="O469">
        <v>60</v>
      </c>
      <c r="P469">
        <v>0</v>
      </c>
      <c r="T469" t="str">
        <f>Toss[[#This Row],[服装]]&amp;Toss[[#This Row],[名前]]&amp;Toss[[#This Row],[レアリティ]]</f>
        <v>ユニフォーム宮侑ICONIC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6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169</v>
      </c>
      <c r="L470" s="1" t="s">
        <v>225</v>
      </c>
      <c r="M470">
        <v>57</v>
      </c>
      <c r="N470">
        <v>0</v>
      </c>
      <c r="O470">
        <v>64</v>
      </c>
      <c r="P470">
        <v>0</v>
      </c>
      <c r="Q470" s="1" t="s">
        <v>187</v>
      </c>
      <c r="T470" t="str">
        <f>Toss[[#This Row],[服装]]&amp;Toss[[#This Row],[名前]]&amp;Toss[[#This Row],[レアリティ]]</f>
        <v>ユニフォーム宮侑ICONIC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895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文化祭宮侑ICONIC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895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文化祭宮侑ICONIC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3</v>
      </c>
      <c r="C473" s="1" t="s">
        <v>895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232</v>
      </c>
      <c r="K473" s="1" t="s">
        <v>181</v>
      </c>
      <c r="L473" s="1" t="s">
        <v>173</v>
      </c>
      <c r="M473">
        <v>42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文化祭宮侑ICONIC</v>
      </c>
    </row>
    <row r="474" spans="1:20" x14ac:dyDescent="0.35">
      <c r="A474">
        <f>VLOOKUP(Toss[[#This Row],[No用]],SetNo[[No.用]:[vlookup 用]],2,FALSE)</f>
        <v>160</v>
      </c>
      <c r="B474">
        <f>IF(ROW()=2,1,IF(A473&lt;&gt;Toss[[#This Row],[No]],1,B473+1))</f>
        <v>4</v>
      </c>
      <c r="C474" s="1" t="s">
        <v>895</v>
      </c>
      <c r="D474" t="s">
        <v>186</v>
      </c>
      <c r="E474" s="1" t="s">
        <v>73</v>
      </c>
      <c r="F474" t="s">
        <v>74</v>
      </c>
      <c r="G474" t="s">
        <v>185</v>
      </c>
      <c r="H474" t="s">
        <v>71</v>
      </c>
      <c r="I474">
        <v>1</v>
      </c>
      <c r="J474" t="s">
        <v>232</v>
      </c>
      <c r="K474" s="1" t="s">
        <v>233</v>
      </c>
      <c r="L474" s="1" t="s">
        <v>162</v>
      </c>
      <c r="M474">
        <v>25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文化祭宮侑ICONIC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5</v>
      </c>
      <c r="C475" s="1" t="s">
        <v>895</v>
      </c>
      <c r="D475" t="s">
        <v>186</v>
      </c>
      <c r="E475" s="1" t="s">
        <v>73</v>
      </c>
      <c r="F475" t="s">
        <v>74</v>
      </c>
      <c r="G475" t="s">
        <v>185</v>
      </c>
      <c r="H475" t="s">
        <v>71</v>
      </c>
      <c r="I475">
        <v>1</v>
      </c>
      <c r="J475" t="s">
        <v>232</v>
      </c>
      <c r="K475" s="1" t="s">
        <v>169</v>
      </c>
      <c r="L475" s="1" t="s">
        <v>225</v>
      </c>
      <c r="M475">
        <v>50</v>
      </c>
      <c r="N475">
        <v>0</v>
      </c>
      <c r="O475">
        <v>60</v>
      </c>
      <c r="P475">
        <v>0</v>
      </c>
      <c r="Q475" s="1" t="s">
        <v>187</v>
      </c>
      <c r="T475" t="str">
        <f>Toss[[#This Row],[服装]]&amp;Toss[[#This Row],[名前]]&amp;Toss[[#This Row],[レアリティ]]</f>
        <v>文化祭宮侑ICONIC</v>
      </c>
    </row>
    <row r="476" spans="1:20" x14ac:dyDescent="0.35">
      <c r="A476">
        <f>VLOOKUP(Toss[[#This Row],[No用]],SetNo[[No.用]:[vlookup 用]],2,FALSE)</f>
        <v>161</v>
      </c>
      <c r="B476">
        <f>IF(ROW()=2,1,IF(A475&lt;&gt;Toss[[#This Row],[No]],1,B475+1))</f>
        <v>1</v>
      </c>
      <c r="C476" s="1" t="s">
        <v>1071</v>
      </c>
      <c r="D476" s="1" t="s">
        <v>186</v>
      </c>
      <c r="E476" s="1" t="s">
        <v>90</v>
      </c>
      <c r="F476" s="1" t="s">
        <v>74</v>
      </c>
      <c r="G476" s="1" t="s">
        <v>185</v>
      </c>
      <c r="H476" s="1" t="s">
        <v>71</v>
      </c>
      <c r="I476">
        <v>1</v>
      </c>
      <c r="J476" t="s">
        <v>232</v>
      </c>
      <c r="K476" s="1" t="s">
        <v>166</v>
      </c>
      <c r="L476" s="1" t="s">
        <v>173</v>
      </c>
      <c r="M476">
        <v>38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RPG宮侑ICONIC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2</v>
      </c>
      <c r="C477" s="1" t="s">
        <v>1071</v>
      </c>
      <c r="D477" s="1" t="s">
        <v>186</v>
      </c>
      <c r="E477" s="1" t="s">
        <v>90</v>
      </c>
      <c r="F477" s="1" t="s">
        <v>74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169</v>
      </c>
      <c r="L477" s="1" t="s">
        <v>173</v>
      </c>
      <c r="M477">
        <v>38</v>
      </c>
      <c r="N477">
        <v>0</v>
      </c>
      <c r="O477">
        <v>0</v>
      </c>
      <c r="P477">
        <v>0</v>
      </c>
      <c r="Q477" s="1"/>
      <c r="T477" t="str">
        <f>Toss[[#This Row],[服装]]&amp;Toss[[#This Row],[名前]]&amp;Toss[[#This Row],[レアリティ]]</f>
        <v>RPG宮侑ICONIC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3</v>
      </c>
      <c r="C478" s="1" t="s">
        <v>1071</v>
      </c>
      <c r="D478" s="1" t="s">
        <v>186</v>
      </c>
      <c r="E478" s="1" t="s">
        <v>90</v>
      </c>
      <c r="F478" s="1" t="s">
        <v>74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181</v>
      </c>
      <c r="L478" s="1" t="s">
        <v>173</v>
      </c>
      <c r="M478">
        <v>42</v>
      </c>
      <c r="N478">
        <v>0</v>
      </c>
      <c r="O478">
        <v>0</v>
      </c>
      <c r="P478">
        <v>0</v>
      </c>
      <c r="Q478" s="1"/>
      <c r="T478" t="str">
        <f>Toss[[#This Row],[服装]]&amp;Toss[[#This Row],[名前]]&amp;Toss[[#This Row],[レアリティ]]</f>
        <v>RPG宮侑ICONIC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4</v>
      </c>
      <c r="C479" s="1" t="s">
        <v>1071</v>
      </c>
      <c r="D479" s="1" t="s">
        <v>186</v>
      </c>
      <c r="E479" s="1" t="s">
        <v>90</v>
      </c>
      <c r="F479" s="1" t="s">
        <v>74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233</v>
      </c>
      <c r="L479" s="1" t="s">
        <v>162</v>
      </c>
      <c r="M479">
        <v>25</v>
      </c>
      <c r="N479">
        <v>0</v>
      </c>
      <c r="O479">
        <v>0</v>
      </c>
      <c r="P479">
        <v>0</v>
      </c>
      <c r="Q479" s="1"/>
      <c r="T479" t="str">
        <f>Toss[[#This Row],[服装]]&amp;Toss[[#This Row],[名前]]&amp;Toss[[#This Row],[レアリティ]]</f>
        <v>RPG宮侑ICONIC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187</v>
      </c>
      <c r="E480" t="s">
        <v>90</v>
      </c>
      <c r="F480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ユニフォーム宮治ICONIC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187</v>
      </c>
      <c r="E481" t="s">
        <v>90</v>
      </c>
      <c r="F481" t="s">
        <v>78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ユニフォーム宮治ICONIC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1071</v>
      </c>
      <c r="D482" s="1" t="s">
        <v>187</v>
      </c>
      <c r="E482" s="1" t="s">
        <v>90</v>
      </c>
      <c r="F482" s="1" t="s">
        <v>78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178</v>
      </c>
      <c r="M482">
        <v>28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RPG宮治ICONIC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1071</v>
      </c>
      <c r="D483" s="1" t="s">
        <v>187</v>
      </c>
      <c r="E483" s="1" t="s">
        <v>90</v>
      </c>
      <c r="F483" s="1" t="s">
        <v>78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RPG宮治ICONIC</v>
      </c>
    </row>
    <row r="484" spans="1:20" x14ac:dyDescent="0.35">
      <c r="A484">
        <f>VLOOKUP(Toss[[#This Row],[No用]],SetNo[[No.用]:[vlookup 用]],2,FALSE)</f>
        <v>163</v>
      </c>
      <c r="B484">
        <f>IF(ROW()=2,1,IF(A483&lt;&gt;Toss[[#This Row],[No]],1,B483+1))</f>
        <v>3</v>
      </c>
      <c r="C484" s="1" t="s">
        <v>1071</v>
      </c>
      <c r="D484" s="1" t="s">
        <v>187</v>
      </c>
      <c r="E484" s="1" t="s">
        <v>90</v>
      </c>
      <c r="F484" s="1" t="s">
        <v>78</v>
      </c>
      <c r="G484" s="1" t="s">
        <v>185</v>
      </c>
      <c r="H484" s="1" t="s">
        <v>71</v>
      </c>
      <c r="I484">
        <v>1</v>
      </c>
      <c r="J484" t="s">
        <v>232</v>
      </c>
      <c r="K484" s="1" t="s">
        <v>183</v>
      </c>
      <c r="L484" s="1" t="s">
        <v>225</v>
      </c>
      <c r="M484">
        <v>52</v>
      </c>
      <c r="N484">
        <v>0</v>
      </c>
      <c r="O484">
        <v>62</v>
      </c>
      <c r="P484">
        <v>0</v>
      </c>
      <c r="T484" t="str">
        <f>Toss[[#This Row],[服装]]&amp;Toss[[#This Row],[名前]]&amp;Toss[[#This Row],[レアリティ]]</f>
        <v>RPG宮治ICONIC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1</v>
      </c>
      <c r="C485" t="s">
        <v>108</v>
      </c>
      <c r="D485" t="s">
        <v>188</v>
      </c>
      <c r="E485" t="s">
        <v>77</v>
      </c>
      <c r="F485" t="s">
        <v>82</v>
      </c>
      <c r="G485" t="s">
        <v>185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ユニフォーム角名倫太郎ICONIC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2</v>
      </c>
      <c r="C486" t="s">
        <v>108</v>
      </c>
      <c r="D486" t="s">
        <v>188</v>
      </c>
      <c r="E486" t="s">
        <v>77</v>
      </c>
      <c r="F486" t="s">
        <v>82</v>
      </c>
      <c r="G486" t="s">
        <v>185</v>
      </c>
      <c r="H486" t="s">
        <v>71</v>
      </c>
      <c r="I486">
        <v>1</v>
      </c>
      <c r="J486" t="s">
        <v>232</v>
      </c>
      <c r="K486" s="1" t="s">
        <v>167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ユニフォーム角名倫太郎ICONIC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1</v>
      </c>
      <c r="C487" s="1" t="s">
        <v>1049</v>
      </c>
      <c r="D487" s="1" t="s">
        <v>188</v>
      </c>
      <c r="E487" s="1" t="s">
        <v>73</v>
      </c>
      <c r="F487" s="1" t="s">
        <v>82</v>
      </c>
      <c r="G487" s="1" t="s">
        <v>185</v>
      </c>
      <c r="H487" s="1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サバゲ角名倫太郎ICONIC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2</v>
      </c>
      <c r="C488" s="1" t="s">
        <v>1049</v>
      </c>
      <c r="D488" s="1" t="s">
        <v>188</v>
      </c>
      <c r="E488" s="1" t="s">
        <v>73</v>
      </c>
      <c r="F488" s="1" t="s">
        <v>82</v>
      </c>
      <c r="G488" s="1" t="s">
        <v>185</v>
      </c>
      <c r="H488" s="1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サバゲ角名倫太郎ICONIC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1</v>
      </c>
      <c r="C489" t="s">
        <v>108</v>
      </c>
      <c r="D489" t="s">
        <v>189</v>
      </c>
      <c r="E489" t="s">
        <v>77</v>
      </c>
      <c r="F489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ユニフォーム北信介ICONIC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2</v>
      </c>
      <c r="C490" t="s">
        <v>108</v>
      </c>
      <c r="D490" t="s">
        <v>189</v>
      </c>
      <c r="E490" t="s">
        <v>77</v>
      </c>
      <c r="F490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ユニフォーム北信介ICONIC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1</v>
      </c>
      <c r="C491" s="1" t="s">
        <v>915</v>
      </c>
      <c r="D491" t="s">
        <v>189</v>
      </c>
      <c r="E491" s="1" t="s">
        <v>73</v>
      </c>
      <c r="F49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Xmas北信介ICONIC</v>
      </c>
    </row>
    <row r="492" spans="1:20" x14ac:dyDescent="0.35">
      <c r="A492">
        <f>VLOOKUP(Toss[[#This Row],[No用]],SetNo[[No.用]:[vlookup 用]],2,FALSE)</f>
        <v>167</v>
      </c>
      <c r="B492">
        <f>IF(ROW()=2,1,IF(A491&lt;&gt;Toss[[#This Row],[No]],1,B491+1))</f>
        <v>2</v>
      </c>
      <c r="C492" s="1" t="s">
        <v>915</v>
      </c>
      <c r="D492" t="s">
        <v>189</v>
      </c>
      <c r="E492" s="1" t="s">
        <v>73</v>
      </c>
      <c r="F492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Xmas北信介ICONIC</v>
      </c>
    </row>
    <row r="493" spans="1:20" x14ac:dyDescent="0.35">
      <c r="A493">
        <f>VLOOKUP(Toss[[#This Row],[No用]],SetNo[[No.用]:[vlookup 用]],2,FALSE)</f>
        <v>168</v>
      </c>
      <c r="B493">
        <f>IF(ROW()=2,1,IF(A492&lt;&gt;Toss[[#This Row],[No]],1,B492+1))</f>
        <v>1</v>
      </c>
      <c r="C493" t="s">
        <v>108</v>
      </c>
      <c r="D493" s="1" t="s">
        <v>665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ユニフォーム尾白アランICONIC</v>
      </c>
    </row>
    <row r="494" spans="1:20" x14ac:dyDescent="0.35">
      <c r="A494">
        <f>VLOOKUP(Toss[[#This Row],[No用]],SetNo[[No.用]:[vlookup 用]],2,FALSE)</f>
        <v>168</v>
      </c>
      <c r="B494">
        <f>IF(ROW()=2,1,IF(A493&lt;&gt;Toss[[#This Row],[No]],1,B493+1))</f>
        <v>2</v>
      </c>
      <c r="C494" t="s">
        <v>108</v>
      </c>
      <c r="D494" s="1" t="s">
        <v>665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ユニフォーム尾白アランICONIC</v>
      </c>
    </row>
    <row r="495" spans="1:20" x14ac:dyDescent="0.35">
      <c r="A495">
        <f>VLOOKUP(Toss[[#This Row],[No用]],SetNo[[No.用]:[vlookup 用]],2,FALSE)</f>
        <v>169</v>
      </c>
      <c r="B495">
        <f>IF(ROW()=2,1,IF(A494&lt;&gt;Toss[[#This Row],[No]],1,B494+1))</f>
        <v>1</v>
      </c>
      <c r="C495" s="1" t="s">
        <v>959</v>
      </c>
      <c r="D495" s="1" t="s">
        <v>665</v>
      </c>
      <c r="E495" s="1" t="s">
        <v>979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雪遊び尾白アランICONIC</v>
      </c>
    </row>
    <row r="496" spans="1:20" x14ac:dyDescent="0.35">
      <c r="A496">
        <f>VLOOKUP(Toss[[#This Row],[No用]],SetNo[[No.用]:[vlookup 用]],2,FALSE)</f>
        <v>169</v>
      </c>
      <c r="B496">
        <f>IF(ROW()=2,1,IF(A495&lt;&gt;Toss[[#This Row],[No]],1,B495+1))</f>
        <v>2</v>
      </c>
      <c r="C496" s="1" t="s">
        <v>959</v>
      </c>
      <c r="D496" s="1" t="s">
        <v>665</v>
      </c>
      <c r="E496" s="1" t="s">
        <v>979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雪遊び尾白アランICONIC</v>
      </c>
    </row>
    <row r="497" spans="1:20" x14ac:dyDescent="0.35">
      <c r="A497">
        <f>VLOOKUP(Toss[[#This Row],[No用]],SetNo[[No.用]:[vlookup 用]],2,FALSE)</f>
        <v>170</v>
      </c>
      <c r="B497">
        <f>IF(ROW()=2,1,IF(A496&lt;&gt;Toss[[#This Row],[No]],1,B496+1))</f>
        <v>1</v>
      </c>
      <c r="C497" t="s">
        <v>108</v>
      </c>
      <c r="D497" s="1" t="s">
        <v>667</v>
      </c>
      <c r="E497" t="s">
        <v>77</v>
      </c>
      <c r="F497" s="1" t="s">
        <v>80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ユニフォーム赤木路成ICONIC</v>
      </c>
    </row>
    <row r="498" spans="1:20" x14ac:dyDescent="0.35">
      <c r="A498">
        <f>VLOOKUP(Toss[[#This Row],[No用]],SetNo[[No.用]:[vlookup 用]],2,FALSE)</f>
        <v>171</v>
      </c>
      <c r="B498">
        <f>IF(ROW()=2,1,IF(A497&lt;&gt;Toss[[#This Row],[No]],1,B497+1))</f>
        <v>1</v>
      </c>
      <c r="C498" t="s">
        <v>108</v>
      </c>
      <c r="D498" s="1" t="s">
        <v>669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ユニフォーム大耳練ICONIC</v>
      </c>
    </row>
    <row r="499" spans="1:20" x14ac:dyDescent="0.35">
      <c r="A499">
        <f>VLOOKUP(Toss[[#This Row],[No用]],SetNo[[No.用]:[vlookup 用]],2,FALSE)</f>
        <v>171</v>
      </c>
      <c r="B499">
        <f>IF(ROW()=2,1,IF(A498&lt;&gt;Toss[[#This Row],[No]],1,B498+1))</f>
        <v>2</v>
      </c>
      <c r="C499" t="s">
        <v>108</v>
      </c>
      <c r="D499" s="1" t="s">
        <v>669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ユニフォーム大耳練ICONIC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1</v>
      </c>
      <c r="C500" t="s">
        <v>108</v>
      </c>
      <c r="D500" s="1" t="s">
        <v>671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ユニフォーム理石平介ICONIC</v>
      </c>
    </row>
    <row r="501" spans="1:20" x14ac:dyDescent="0.35">
      <c r="A501">
        <f>VLOOKUP(Toss[[#This Row],[No用]],SetNo[[No.用]:[vlookup 用]],2,FALSE)</f>
        <v>172</v>
      </c>
      <c r="B501">
        <f>IF(ROW()=2,1,IF(A500&lt;&gt;Toss[[#This Row],[No]],1,B500+1))</f>
        <v>2</v>
      </c>
      <c r="C501" t="s">
        <v>108</v>
      </c>
      <c r="D501" s="1" t="s">
        <v>671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ユニフォーム理石平介ICONIC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1</v>
      </c>
      <c r="C502" s="1" t="s">
        <v>108</v>
      </c>
      <c r="D502" s="1" t="s">
        <v>1178</v>
      </c>
      <c r="E502" s="1" t="s">
        <v>77</v>
      </c>
      <c r="F502" s="1" t="s">
        <v>78</v>
      </c>
      <c r="G502" s="1" t="s">
        <v>185</v>
      </c>
      <c r="H502" s="1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ユニフォーム銀島結ICONIC</v>
      </c>
    </row>
    <row r="503" spans="1:20" x14ac:dyDescent="0.35">
      <c r="A503">
        <f>VLOOKUP(Toss[[#This Row],[No用]],SetNo[[No.用]:[vlookup 用]],2,FALSE)</f>
        <v>173</v>
      </c>
      <c r="B503">
        <f>IF(ROW()=2,1,IF(A502&lt;&gt;Toss[[#This Row],[No]],1,B502+1))</f>
        <v>2</v>
      </c>
      <c r="C503" s="1" t="s">
        <v>108</v>
      </c>
      <c r="D503" s="1" t="s">
        <v>1178</v>
      </c>
      <c r="E503" s="1" t="s">
        <v>77</v>
      </c>
      <c r="F503" s="1" t="s">
        <v>78</v>
      </c>
      <c r="G503" s="1" t="s">
        <v>185</v>
      </c>
      <c r="H503" s="1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ユニフォーム銀島結ICONIC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1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ユニフォーム木兎光太郎ICONIC</v>
      </c>
    </row>
    <row r="505" spans="1:20" x14ac:dyDescent="0.35">
      <c r="A505">
        <f>VLOOKUP(Toss[[#This Row],[No用]],SetNo[[No.用]:[vlookup 用]],2,FALSE)</f>
        <v>174</v>
      </c>
      <c r="B505">
        <f>IF(ROW()=2,1,IF(A504&lt;&gt;Toss[[#This Row],[No]],1,B504+1))</f>
        <v>2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ユニフォーム木兎光太郎ICONIC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1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夏祭り木兎光太郎ICONIC</v>
      </c>
    </row>
    <row r="507" spans="1:20" x14ac:dyDescent="0.35">
      <c r="A507">
        <f>VLOOKUP(Toss[[#This Row],[No用]],SetNo[[No.用]:[vlookup 用]],2,FALSE)</f>
        <v>175</v>
      </c>
      <c r="B507">
        <f>IF(ROW()=2,1,IF(A506&lt;&gt;Toss[[#This Row],[No]],1,B506+1))</f>
        <v>2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167</v>
      </c>
      <c r="L507" s="1" t="s">
        <v>178</v>
      </c>
      <c r="M507">
        <v>33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夏祭り木兎光太郎ICONIC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1</v>
      </c>
      <c r="C508" s="1" t="s">
        <v>915</v>
      </c>
      <c r="D508" t="s">
        <v>122</v>
      </c>
      <c r="E508" s="1" t="s">
        <v>73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Xmas木兎光太郎ICONIC</v>
      </c>
    </row>
    <row r="509" spans="1:20" x14ac:dyDescent="0.35">
      <c r="A509">
        <f>VLOOKUP(Toss[[#This Row],[No用]],SetNo[[No.用]:[vlookup 用]],2,FALSE)</f>
        <v>176</v>
      </c>
      <c r="B509">
        <f>IF(ROW()=2,1,IF(A508&lt;&gt;Toss[[#This Row],[No]],1,B508+1))</f>
        <v>2</v>
      </c>
      <c r="C509" s="1" t="s">
        <v>915</v>
      </c>
      <c r="D509" t="s">
        <v>122</v>
      </c>
      <c r="E509" s="1" t="s">
        <v>73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167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Xmas木兎光太郎ICONIC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1</v>
      </c>
      <c r="C510" s="1" t="s">
        <v>149</v>
      </c>
      <c r="D510" t="s">
        <v>122</v>
      </c>
      <c r="E510" s="1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制服木兎光太郎ICONIC</v>
      </c>
    </row>
    <row r="511" spans="1:20" x14ac:dyDescent="0.35">
      <c r="A511">
        <f>VLOOKUP(Toss[[#This Row],[No用]],SetNo[[No.用]:[vlookup 用]],2,FALSE)</f>
        <v>177</v>
      </c>
      <c r="B511">
        <f>IF(ROW()=2,1,IF(A510&lt;&gt;Toss[[#This Row],[No]],1,B510+1))</f>
        <v>2</v>
      </c>
      <c r="C511" s="1" t="s">
        <v>149</v>
      </c>
      <c r="D511" t="s">
        <v>122</v>
      </c>
      <c r="E511" s="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232</v>
      </c>
      <c r="K511" s="1" t="s">
        <v>167</v>
      </c>
      <c r="L511" s="1" t="s">
        <v>178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制服木兎光太郎ICONIC</v>
      </c>
    </row>
    <row r="512" spans="1:20" x14ac:dyDescent="0.35">
      <c r="A512">
        <f>VLOOKUP(Toss[[#This Row],[No用]],SetNo[[No.用]:[vlookup 用]],2,FALSE)</f>
        <v>178</v>
      </c>
      <c r="B512">
        <f>IF(ROW()=2,1,IF(A511&lt;&gt;Toss[[#This Row],[No]],1,B511+1))</f>
        <v>1</v>
      </c>
      <c r="C512" t="s">
        <v>108</v>
      </c>
      <c r="D512" t="s">
        <v>123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31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ユニフォーム木葉秋紀ICONIC</v>
      </c>
    </row>
    <row r="513" spans="1:20" x14ac:dyDescent="0.35">
      <c r="A513">
        <f>VLOOKUP(Toss[[#This Row],[No用]],SetNo[[No.用]:[vlookup 用]],2,FALSE)</f>
        <v>178</v>
      </c>
      <c r="B513">
        <f>IF(ROW()=2,1,IF(A512&lt;&gt;Toss[[#This Row],[No]],1,B512+1))</f>
        <v>2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ユニフォーム木葉秋紀ICONIC</v>
      </c>
    </row>
    <row r="514" spans="1:20" x14ac:dyDescent="0.35">
      <c r="A514">
        <f>VLOOKUP(Toss[[#This Row],[No用]],SetNo[[No.用]:[vlookup 用]],2,FALSE)</f>
        <v>179</v>
      </c>
      <c r="B514">
        <f>IF(ROW()=2,1,IF(A513&lt;&gt;Toss[[#This Row],[No]],1,B513+1))</f>
        <v>1</v>
      </c>
      <c r="C514" s="1" t="s">
        <v>386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394</v>
      </c>
      <c r="K514" s="1" t="s">
        <v>166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探偵木葉秋紀ICONIC</v>
      </c>
    </row>
    <row r="515" spans="1:20" x14ac:dyDescent="0.35">
      <c r="A515">
        <f>VLOOKUP(Toss[[#This Row],[No用]],SetNo[[No.用]:[vlookup 用]],2,FALSE)</f>
        <v>179</v>
      </c>
      <c r="B515">
        <f>IF(ROW()=2,1,IF(A514&lt;&gt;Toss[[#This Row],[No]],1,B514+1))</f>
        <v>2</v>
      </c>
      <c r="C515" s="1" t="s">
        <v>386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394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探偵木葉秋紀ICONIC</v>
      </c>
    </row>
    <row r="516" spans="1:20" x14ac:dyDescent="0.35">
      <c r="A516">
        <f>VLOOKUP(Toss[[#This Row],[No用]],SetNo[[No.用]:[vlookup 用]],2,FALSE)</f>
        <v>180</v>
      </c>
      <c r="B516">
        <f>IF(ROW()=2,1,IF(A515&lt;&gt;Toss[[#This Row],[No]],1,B515+1))</f>
        <v>1</v>
      </c>
      <c r="C516" t="s">
        <v>108</v>
      </c>
      <c r="D516" t="s">
        <v>124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 s="1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ユニフォーム猿杙大和ICONIC</v>
      </c>
    </row>
    <row r="517" spans="1:20" x14ac:dyDescent="0.35">
      <c r="A517">
        <f>VLOOKUP(Toss[[#This Row],[No用]],SetNo[[No.用]:[vlookup 用]],2,FALSE)</f>
        <v>180</v>
      </c>
      <c r="B517">
        <f>IF(ROW()=2,1,IF(A516&lt;&gt;Toss[[#This Row],[No]],1,B516+1))</f>
        <v>2</v>
      </c>
      <c r="C517" t="s">
        <v>108</v>
      </c>
      <c r="D517" t="s">
        <v>124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ユニフォーム猿杙大和ICONIC</v>
      </c>
    </row>
    <row r="518" spans="1:20" x14ac:dyDescent="0.35">
      <c r="A518">
        <f>VLOOKUP(Toss[[#This Row],[No用]],SetNo[[No.用]:[vlookup 用]],2,FALSE)</f>
        <v>181</v>
      </c>
      <c r="B518">
        <f>IF(ROW()=2,1,IF(A517&lt;&gt;Toss[[#This Row],[No]],1,B517+1))</f>
        <v>1</v>
      </c>
      <c r="C518" t="s">
        <v>108</v>
      </c>
      <c r="D518" t="s">
        <v>125</v>
      </c>
      <c r="E518" t="s">
        <v>90</v>
      </c>
      <c r="F518" t="s">
        <v>80</v>
      </c>
      <c r="G518" t="s">
        <v>128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ユニフォーム小見春樹ICONIC</v>
      </c>
    </row>
    <row r="519" spans="1:20" x14ac:dyDescent="0.35">
      <c r="A519">
        <f>VLOOKUP(Toss[[#This Row],[No用]],SetNo[[No.用]:[vlookup 用]],2,FALSE)</f>
        <v>182</v>
      </c>
      <c r="B519">
        <f>IF(ROW()=2,1,IF(A518&lt;&gt;Toss[[#This Row],[No]],1,B518+1))</f>
        <v>1</v>
      </c>
      <c r="C519" t="s">
        <v>108</v>
      </c>
      <c r="D519" t="s">
        <v>126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ユニフォーム尾長渉ICONIC</v>
      </c>
    </row>
    <row r="520" spans="1:20" x14ac:dyDescent="0.35">
      <c r="A520">
        <f>VLOOKUP(Toss[[#This Row],[No用]],SetNo[[No.用]:[vlookup 用]],2,FALSE)</f>
        <v>182</v>
      </c>
      <c r="B520">
        <f>IF(ROW()=2,1,IF(A519&lt;&gt;Toss[[#This Row],[No]],1,B519+1))</f>
        <v>2</v>
      </c>
      <c r="C520" t="s">
        <v>108</v>
      </c>
      <c r="D520" t="s">
        <v>126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ユニフォーム尾長渉ICONIC</v>
      </c>
    </row>
    <row r="521" spans="1:20" x14ac:dyDescent="0.35">
      <c r="A521">
        <f>VLOOKUP(Toss[[#This Row],[No用]],SetNo[[No.用]:[vlookup 用]],2,FALSE)</f>
        <v>183</v>
      </c>
      <c r="B521">
        <f>IF(ROW()=2,1,IF(A520&lt;&gt;Toss[[#This Row],[No]],1,B520+1))</f>
        <v>1</v>
      </c>
      <c r="C521" t="s">
        <v>108</v>
      </c>
      <c r="D521" t="s">
        <v>127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ユニフォーム鷲尾辰生ICONIC</v>
      </c>
    </row>
    <row r="522" spans="1:20" x14ac:dyDescent="0.35">
      <c r="A522">
        <f>VLOOKUP(Toss[[#This Row],[No用]],SetNo[[No.用]:[vlookup 用]],2,FALSE)</f>
        <v>183</v>
      </c>
      <c r="B522">
        <f>IF(ROW()=2,1,IF(A521&lt;&gt;Toss[[#This Row],[No]],1,B521+1))</f>
        <v>2</v>
      </c>
      <c r="C522" t="s">
        <v>108</v>
      </c>
      <c r="D522" t="s">
        <v>127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ユニフォーム鷲尾辰生ICONIC</v>
      </c>
    </row>
    <row r="523" spans="1:20" x14ac:dyDescent="0.35">
      <c r="A523">
        <f>VLOOKUP(Toss[[#This Row],[No用]],SetNo[[No.用]:[vlookup 用]],2,FALSE)</f>
        <v>184</v>
      </c>
      <c r="B523">
        <f>IF(ROW()=2,1,IF(A522&lt;&gt;Toss[[#This Row],[No]],1,B522+1))</f>
        <v>1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166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ユニフォーム赤葦京治ICONIC</v>
      </c>
    </row>
    <row r="524" spans="1:20" x14ac:dyDescent="0.35">
      <c r="A524">
        <f>VLOOKUP(Toss[[#This Row],[No用]],SetNo[[No.用]:[vlookup 用]],2,FALSE)</f>
        <v>184</v>
      </c>
      <c r="B524">
        <f>IF(ROW()=2,1,IF(A523&lt;&gt;Toss[[#This Row],[No]],1,B523+1))</f>
        <v>2</v>
      </c>
      <c r="C524" t="s">
        <v>108</v>
      </c>
      <c r="D524" t="s">
        <v>129</v>
      </c>
      <c r="E524" t="s">
        <v>73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169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ユニフォーム赤葦京治ICONIC</v>
      </c>
    </row>
    <row r="525" spans="1:20" x14ac:dyDescent="0.35">
      <c r="A525">
        <f>VLOOKUP(Toss[[#This Row],[No用]],SetNo[[No.用]:[vlookup 用]],2,FALSE)</f>
        <v>184</v>
      </c>
      <c r="B525">
        <f>IF(ROW()=2,1,IF(A524&lt;&gt;Toss[[#This Row],[No]],1,B524+1))</f>
        <v>3</v>
      </c>
      <c r="C525" t="s">
        <v>108</v>
      </c>
      <c r="D525" t="s">
        <v>129</v>
      </c>
      <c r="E525" t="s">
        <v>73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234</v>
      </c>
      <c r="L525" s="1" t="s">
        <v>162</v>
      </c>
      <c r="M525">
        <v>38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ユニフォーム赤葦京治ICONIC</v>
      </c>
    </row>
    <row r="526" spans="1:20" x14ac:dyDescent="0.35">
      <c r="A526">
        <f>VLOOKUP(Toss[[#This Row],[No用]],SetNo[[No.用]:[vlookup 用]],2,FALSE)</f>
        <v>184</v>
      </c>
      <c r="B526">
        <f>IF(ROW()=2,1,IF(A525&lt;&gt;Toss[[#This Row],[No]],1,B525+1))</f>
        <v>4</v>
      </c>
      <c r="C526" t="s">
        <v>108</v>
      </c>
      <c r="D526" t="s">
        <v>129</v>
      </c>
      <c r="E526" t="s">
        <v>73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172</v>
      </c>
      <c r="L526" s="1" t="s">
        <v>173</v>
      </c>
      <c r="M526">
        <v>41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ユニフォーム赤葦京治ICONIC</v>
      </c>
    </row>
    <row r="527" spans="1:20" x14ac:dyDescent="0.35">
      <c r="A527">
        <f>VLOOKUP(Toss[[#This Row],[No用]],SetNo[[No.用]:[vlookup 用]],2,FALSE)</f>
        <v>184</v>
      </c>
      <c r="B527">
        <f>IF(ROW()=2,1,IF(A526&lt;&gt;Toss[[#This Row],[No]],1,B526+1))</f>
        <v>5</v>
      </c>
      <c r="C527" t="s">
        <v>108</v>
      </c>
      <c r="D527" t="s">
        <v>129</v>
      </c>
      <c r="E527" t="s">
        <v>73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233</v>
      </c>
      <c r="L527" s="1" t="s">
        <v>162</v>
      </c>
      <c r="M527">
        <v>30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ユニフォーム赤葦京治ICONIC</v>
      </c>
    </row>
    <row r="528" spans="1:20" x14ac:dyDescent="0.35">
      <c r="A528">
        <f>VLOOKUP(Toss[[#This Row],[No用]],SetNo[[No.用]:[vlookup 用]],2,FALSE)</f>
        <v>184</v>
      </c>
      <c r="B528">
        <f>IF(ROW()=2,1,IF(A527&lt;&gt;Toss[[#This Row],[No]],1,B527+1))</f>
        <v>6</v>
      </c>
      <c r="C528" t="s">
        <v>108</v>
      </c>
      <c r="D528" t="s">
        <v>129</v>
      </c>
      <c r="E528" t="s">
        <v>73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169</v>
      </c>
      <c r="L528" s="1" t="s">
        <v>225</v>
      </c>
      <c r="M528">
        <v>50</v>
      </c>
      <c r="N528">
        <v>0</v>
      </c>
      <c r="O528">
        <v>60</v>
      </c>
      <c r="P528">
        <v>0</v>
      </c>
      <c r="T528" t="str">
        <f>Toss[[#This Row],[服装]]&amp;Toss[[#This Row],[名前]]&amp;Toss[[#This Row],[レアリティ]]</f>
        <v>ユニフォーム赤葦京治ICONIC</v>
      </c>
    </row>
    <row r="529" spans="1:20" x14ac:dyDescent="0.35">
      <c r="A529">
        <f>VLOOKUP(Toss[[#This Row],[No用]],SetNo[[No.用]:[vlookup 用]],2,FALSE)</f>
        <v>185</v>
      </c>
      <c r="B529">
        <f>IF(ROW()=2,1,IF(A528&lt;&gt;Toss[[#This Row],[No]],1,B528+1))</f>
        <v>1</v>
      </c>
      <c r="C529" t="s">
        <v>150</v>
      </c>
      <c r="D529" t="s">
        <v>129</v>
      </c>
      <c r="E529" t="s">
        <v>90</v>
      </c>
      <c r="F529" t="s">
        <v>74</v>
      </c>
      <c r="G529" t="s">
        <v>128</v>
      </c>
      <c r="H529" t="s">
        <v>71</v>
      </c>
      <c r="I529">
        <v>1</v>
      </c>
      <c r="J529" t="s">
        <v>232</v>
      </c>
      <c r="K529" s="1" t="s">
        <v>166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夏祭り赤葦京治ICONIC</v>
      </c>
    </row>
    <row r="530" spans="1:20" x14ac:dyDescent="0.35">
      <c r="A530">
        <f>VLOOKUP(Toss[[#This Row],[No用]],SetNo[[No.用]:[vlookup 用]],2,FALSE)</f>
        <v>185</v>
      </c>
      <c r="B530">
        <f>IF(ROW()=2,1,IF(A529&lt;&gt;Toss[[#This Row],[No]],1,B529+1))</f>
        <v>2</v>
      </c>
      <c r="C530" t="s">
        <v>150</v>
      </c>
      <c r="D530" t="s">
        <v>129</v>
      </c>
      <c r="E530" t="s">
        <v>90</v>
      </c>
      <c r="F530" t="s">
        <v>74</v>
      </c>
      <c r="G530" t="s">
        <v>128</v>
      </c>
      <c r="H530" t="s">
        <v>71</v>
      </c>
      <c r="I530">
        <v>1</v>
      </c>
      <c r="J530" t="s">
        <v>232</v>
      </c>
      <c r="K530" s="1" t="s">
        <v>169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夏祭り赤葦京治ICONIC</v>
      </c>
    </row>
    <row r="531" spans="1:20" x14ac:dyDescent="0.35">
      <c r="A531">
        <f>VLOOKUP(Toss[[#This Row],[No用]],SetNo[[No.用]:[vlookup 用]],2,FALSE)</f>
        <v>185</v>
      </c>
      <c r="B531">
        <f>IF(ROW()=2,1,IF(A530&lt;&gt;Toss[[#This Row],[No]],1,B530+1))</f>
        <v>3</v>
      </c>
      <c r="C531" t="s">
        <v>150</v>
      </c>
      <c r="D531" t="s">
        <v>129</v>
      </c>
      <c r="E531" t="s">
        <v>90</v>
      </c>
      <c r="F531" t="s">
        <v>74</v>
      </c>
      <c r="G531" t="s">
        <v>128</v>
      </c>
      <c r="H531" t="s">
        <v>71</v>
      </c>
      <c r="I531">
        <v>1</v>
      </c>
      <c r="J531" t="s">
        <v>232</v>
      </c>
      <c r="K531" s="1" t="s">
        <v>234</v>
      </c>
      <c r="L531" s="1" t="s">
        <v>162</v>
      </c>
      <c r="M531">
        <v>38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夏祭り赤葦京治ICONIC</v>
      </c>
    </row>
    <row r="532" spans="1:20" x14ac:dyDescent="0.35">
      <c r="A532">
        <f>VLOOKUP(Toss[[#This Row],[No用]],SetNo[[No.用]:[vlookup 用]],2,FALSE)</f>
        <v>185</v>
      </c>
      <c r="B532">
        <f>IF(ROW()=2,1,IF(A531&lt;&gt;Toss[[#This Row],[No]],1,B531+1))</f>
        <v>4</v>
      </c>
      <c r="C532" t="s">
        <v>150</v>
      </c>
      <c r="D532" t="s">
        <v>129</v>
      </c>
      <c r="E532" t="s">
        <v>90</v>
      </c>
      <c r="F532" t="s">
        <v>74</v>
      </c>
      <c r="G532" t="s">
        <v>128</v>
      </c>
      <c r="H532" t="s">
        <v>71</v>
      </c>
      <c r="I532">
        <v>1</v>
      </c>
      <c r="J532" t="s">
        <v>232</v>
      </c>
      <c r="K532" s="1" t="s">
        <v>172</v>
      </c>
      <c r="L532" s="1" t="s">
        <v>173</v>
      </c>
      <c r="M532">
        <v>41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夏祭り赤葦京治ICONIC</v>
      </c>
    </row>
    <row r="533" spans="1:20" x14ac:dyDescent="0.35">
      <c r="A533">
        <f>VLOOKUP(Toss[[#This Row],[No用]],SetNo[[No.用]:[vlookup 用]],2,FALSE)</f>
        <v>185</v>
      </c>
      <c r="B533">
        <f>IF(ROW()=2,1,IF(A532&lt;&gt;Toss[[#This Row],[No]],1,B532+1))</f>
        <v>5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232</v>
      </c>
      <c r="K533" s="1" t="s">
        <v>233</v>
      </c>
      <c r="L533" s="1" t="s">
        <v>178</v>
      </c>
      <c r="M533">
        <v>33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夏祭り赤葦京治ICONIC</v>
      </c>
    </row>
    <row r="534" spans="1:20" x14ac:dyDescent="0.35">
      <c r="A534">
        <f>VLOOKUP(Toss[[#This Row],[No用]],SetNo[[No.用]:[vlookup 用]],2,FALSE)</f>
        <v>185</v>
      </c>
      <c r="B534">
        <f>IF(ROW()=2,1,IF(A533&lt;&gt;Toss[[#This Row],[No]],1,B533+1))</f>
        <v>6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232</v>
      </c>
      <c r="K534" s="1" t="s">
        <v>183</v>
      </c>
      <c r="L534" s="1" t="s">
        <v>225</v>
      </c>
      <c r="M534">
        <v>50</v>
      </c>
      <c r="N534">
        <v>0</v>
      </c>
      <c r="O534">
        <v>60</v>
      </c>
      <c r="P534">
        <v>0</v>
      </c>
      <c r="Q534" s="1" t="s">
        <v>998</v>
      </c>
      <c r="T534" t="str">
        <f>Toss[[#This Row],[服装]]&amp;Toss[[#This Row],[名前]]&amp;Toss[[#This Row],[レアリティ]]</f>
        <v>夏祭り赤葦京治ICONIC</v>
      </c>
    </row>
    <row r="535" spans="1:20" x14ac:dyDescent="0.35">
      <c r="A535">
        <f>VLOOKUP(Toss[[#This Row],[No用]],SetNo[[No.用]:[vlookup 用]],2,FALSE)</f>
        <v>185</v>
      </c>
      <c r="B535">
        <f>IF(ROW()=2,1,IF(A534&lt;&gt;Toss[[#This Row],[No]],1,B534+1))</f>
        <v>7</v>
      </c>
      <c r="C535" t="s">
        <v>150</v>
      </c>
      <c r="D535" t="s">
        <v>129</v>
      </c>
      <c r="E535" t="s">
        <v>90</v>
      </c>
      <c r="F535" t="s">
        <v>74</v>
      </c>
      <c r="G535" t="s">
        <v>128</v>
      </c>
      <c r="H535" t="s">
        <v>71</v>
      </c>
      <c r="I535">
        <v>1</v>
      </c>
      <c r="J535" t="s">
        <v>232</v>
      </c>
      <c r="K535" s="1" t="s">
        <v>183</v>
      </c>
      <c r="L535" s="1" t="s">
        <v>225</v>
      </c>
      <c r="M535">
        <v>50</v>
      </c>
      <c r="N535">
        <v>0</v>
      </c>
      <c r="O535">
        <v>60</v>
      </c>
      <c r="P535">
        <v>0</v>
      </c>
      <c r="T535" t="str">
        <f>Toss[[#This Row],[服装]]&amp;Toss[[#This Row],[名前]]&amp;Toss[[#This Row],[レアリティ]]</f>
        <v>夏祭り赤葦京治ICONIC</v>
      </c>
    </row>
    <row r="536" spans="1:20" x14ac:dyDescent="0.35">
      <c r="A536">
        <f>VLOOKUP(Toss[[#This Row],[No用]],SetNo[[No.用]:[vlookup 用]],2,FALSE)</f>
        <v>186</v>
      </c>
      <c r="B536">
        <f>IF(ROW()=2,1,IF(A535&lt;&gt;Toss[[#This Row],[No]],1,B535+1))</f>
        <v>1</v>
      </c>
      <c r="C536" s="1" t="s">
        <v>149</v>
      </c>
      <c r="D536" s="1" t="s">
        <v>129</v>
      </c>
      <c r="E536" s="1" t="s">
        <v>77</v>
      </c>
      <c r="F536" s="1" t="s">
        <v>74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166</v>
      </c>
      <c r="L536" s="1" t="s">
        <v>173</v>
      </c>
      <c r="M536">
        <v>38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制服赤葦京治ICONIC</v>
      </c>
    </row>
    <row r="537" spans="1:20" x14ac:dyDescent="0.35">
      <c r="A537">
        <f>VLOOKUP(Toss[[#This Row],[No用]],SetNo[[No.用]:[vlookup 用]],2,FALSE)</f>
        <v>186</v>
      </c>
      <c r="B537">
        <f>IF(ROW()=2,1,IF(A536&lt;&gt;Toss[[#This Row],[No]],1,B536+1))</f>
        <v>2</v>
      </c>
      <c r="C537" s="1" t="s">
        <v>149</v>
      </c>
      <c r="D537" s="1" t="s">
        <v>129</v>
      </c>
      <c r="E537" s="1" t="s">
        <v>77</v>
      </c>
      <c r="F537" s="1" t="s">
        <v>74</v>
      </c>
      <c r="G537" s="1" t="s">
        <v>128</v>
      </c>
      <c r="H537" s="1" t="s">
        <v>71</v>
      </c>
      <c r="I537">
        <v>1</v>
      </c>
      <c r="J537" t="s">
        <v>232</v>
      </c>
      <c r="K537" s="1" t="s">
        <v>169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制服赤葦京治ICONIC</v>
      </c>
    </row>
    <row r="538" spans="1:20" x14ac:dyDescent="0.35">
      <c r="A538">
        <f>VLOOKUP(Toss[[#This Row],[No用]],SetNo[[No.用]:[vlookup 用]],2,FALSE)</f>
        <v>186</v>
      </c>
      <c r="B538">
        <f>IF(ROW()=2,1,IF(A537&lt;&gt;Toss[[#This Row],[No]],1,B537+1))</f>
        <v>3</v>
      </c>
      <c r="C538" s="1" t="s">
        <v>149</v>
      </c>
      <c r="D538" s="1" t="s">
        <v>129</v>
      </c>
      <c r="E538" s="1" t="s">
        <v>77</v>
      </c>
      <c r="F538" s="1" t="s">
        <v>74</v>
      </c>
      <c r="G538" s="1" t="s">
        <v>128</v>
      </c>
      <c r="H538" s="1" t="s">
        <v>71</v>
      </c>
      <c r="I538">
        <v>1</v>
      </c>
      <c r="J538" t="s">
        <v>232</v>
      </c>
      <c r="K538" s="1" t="s">
        <v>234</v>
      </c>
      <c r="L538" s="1" t="s">
        <v>178</v>
      </c>
      <c r="M538">
        <v>41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制服赤葦京治ICONIC</v>
      </c>
    </row>
    <row r="539" spans="1:20" x14ac:dyDescent="0.35">
      <c r="A539">
        <f>VLOOKUP(Toss[[#This Row],[No用]],SetNo[[No.用]:[vlookup 用]],2,FALSE)</f>
        <v>186</v>
      </c>
      <c r="B539">
        <f>IF(ROW()=2,1,IF(A538&lt;&gt;Toss[[#This Row],[No]],1,B538+1))</f>
        <v>4</v>
      </c>
      <c r="C539" s="1" t="s">
        <v>149</v>
      </c>
      <c r="D539" s="1" t="s">
        <v>129</v>
      </c>
      <c r="E539" s="1" t="s">
        <v>77</v>
      </c>
      <c r="F539" s="1" t="s">
        <v>74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172</v>
      </c>
      <c r="L539" s="1" t="s">
        <v>173</v>
      </c>
      <c r="M539">
        <v>41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制服赤葦京治ICONIC</v>
      </c>
    </row>
    <row r="540" spans="1:20" x14ac:dyDescent="0.35">
      <c r="A540">
        <f>VLOOKUP(Toss[[#This Row],[No用]],SetNo[[No.用]:[vlookup 用]],2,FALSE)</f>
        <v>186</v>
      </c>
      <c r="B540">
        <f>IF(ROW()=2,1,IF(A539&lt;&gt;Toss[[#This Row],[No]],1,B539+1))</f>
        <v>5</v>
      </c>
      <c r="C540" s="1" t="s">
        <v>149</v>
      </c>
      <c r="D540" s="1" t="s">
        <v>129</v>
      </c>
      <c r="E540" s="1" t="s">
        <v>77</v>
      </c>
      <c r="F540" s="1" t="s">
        <v>74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233</v>
      </c>
      <c r="L540" s="1" t="s">
        <v>178</v>
      </c>
      <c r="M540">
        <v>33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制服赤葦京治ICONIC</v>
      </c>
    </row>
    <row r="541" spans="1:20" x14ac:dyDescent="0.35">
      <c r="A541">
        <f>VLOOKUP(Toss[[#This Row],[No用]],SetNo[[No.用]:[vlookup 用]],2,FALSE)</f>
        <v>186</v>
      </c>
      <c r="B541">
        <f>IF(ROW()=2,1,IF(A540&lt;&gt;Toss[[#This Row],[No]],1,B540+1))</f>
        <v>6</v>
      </c>
      <c r="C541" s="1" t="s">
        <v>149</v>
      </c>
      <c r="D541" s="1" t="s">
        <v>129</v>
      </c>
      <c r="E541" s="1" t="s">
        <v>77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183</v>
      </c>
      <c r="L541" s="1" t="s">
        <v>225</v>
      </c>
      <c r="M541">
        <v>50</v>
      </c>
      <c r="N541">
        <v>0</v>
      </c>
      <c r="O541">
        <v>60</v>
      </c>
      <c r="P541">
        <v>0</v>
      </c>
      <c r="T541" t="str">
        <f>Toss[[#This Row],[服装]]&amp;Toss[[#This Row],[名前]]&amp;Toss[[#This Row],[レアリティ]]</f>
        <v>制服赤葦京治ICONIC</v>
      </c>
    </row>
    <row r="542" spans="1:20" x14ac:dyDescent="0.35">
      <c r="A542">
        <f>VLOOKUP(Toss[[#This Row],[No用]],SetNo[[No.用]:[vlookup 用]],2,FALSE)</f>
        <v>186</v>
      </c>
      <c r="B542">
        <f>IF(ROW()=2,1,IF(A541&lt;&gt;Toss[[#This Row],[No]],1,B541+1))</f>
        <v>7</v>
      </c>
      <c r="C542" s="1" t="s">
        <v>149</v>
      </c>
      <c r="D542" s="1" t="s">
        <v>129</v>
      </c>
      <c r="E542" s="1" t="s">
        <v>77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169</v>
      </c>
      <c r="L542" s="1" t="s">
        <v>225</v>
      </c>
      <c r="M542">
        <v>50</v>
      </c>
      <c r="N542">
        <v>0</v>
      </c>
      <c r="O542">
        <v>60</v>
      </c>
      <c r="P542">
        <v>0</v>
      </c>
      <c r="Q542" s="1" t="s">
        <v>998</v>
      </c>
      <c r="T542" t="str">
        <f>Toss[[#This Row],[服装]]&amp;Toss[[#This Row],[名前]]&amp;Toss[[#This Row],[レアリティ]]</f>
        <v>制服赤葦京治ICONIC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8</v>
      </c>
      <c r="C543" s="1" t="s">
        <v>149</v>
      </c>
      <c r="D543" s="1" t="s">
        <v>129</v>
      </c>
      <c r="E543" s="1" t="s">
        <v>77</v>
      </c>
      <c r="F543" s="1" t="s">
        <v>74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233</v>
      </c>
      <c r="L543" s="1" t="s">
        <v>225</v>
      </c>
      <c r="M543">
        <v>50</v>
      </c>
      <c r="N543">
        <v>0</v>
      </c>
      <c r="O543">
        <v>60</v>
      </c>
      <c r="P543">
        <v>0</v>
      </c>
      <c r="T543" t="str">
        <f>Toss[[#This Row],[服装]]&amp;Toss[[#This Row],[名前]]&amp;Toss[[#This Row],[レアリティ]]</f>
        <v>制服赤葦京治ICONIC</v>
      </c>
    </row>
    <row r="544" spans="1:20" x14ac:dyDescent="0.35">
      <c r="A544">
        <f>VLOOKUP(Toss[[#This Row],[No用]],SetNo[[No.用]:[vlookup 用]],2,FALSE)</f>
        <v>187</v>
      </c>
      <c r="B544">
        <f>IF(ROW()=2,1,IF(A543&lt;&gt;Toss[[#This Row],[No]],1,B543+1))</f>
        <v>1</v>
      </c>
      <c r="C544" s="1" t="s">
        <v>1165</v>
      </c>
      <c r="D544" s="1" t="s">
        <v>129</v>
      </c>
      <c r="E544" s="1" t="s">
        <v>73</v>
      </c>
      <c r="F544" s="1" t="s">
        <v>74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166</v>
      </c>
      <c r="L544" s="1" t="s">
        <v>173</v>
      </c>
      <c r="M544">
        <v>38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バーガー赤葦京治ICONIC</v>
      </c>
    </row>
    <row r="545" spans="1:20" x14ac:dyDescent="0.35">
      <c r="A545">
        <f>VLOOKUP(Toss[[#This Row],[No用]],SetNo[[No.用]:[vlookup 用]],2,FALSE)</f>
        <v>187</v>
      </c>
      <c r="B545">
        <f>IF(ROW()=2,1,IF(A544&lt;&gt;Toss[[#This Row],[No]],1,B544+1))</f>
        <v>2</v>
      </c>
      <c r="C545" s="1" t="s">
        <v>1165</v>
      </c>
      <c r="D545" s="1" t="s">
        <v>129</v>
      </c>
      <c r="E545" s="1" t="s">
        <v>73</v>
      </c>
      <c r="F545" s="1" t="s">
        <v>74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169</v>
      </c>
      <c r="L545" s="1" t="s">
        <v>173</v>
      </c>
      <c r="M545">
        <v>38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バーガー赤葦京治ICONIC</v>
      </c>
    </row>
    <row r="546" spans="1:20" x14ac:dyDescent="0.35">
      <c r="A546">
        <f>VLOOKUP(Toss[[#This Row],[No用]],SetNo[[No.用]:[vlookup 用]],2,FALSE)</f>
        <v>187</v>
      </c>
      <c r="B546">
        <f>IF(ROW()=2,1,IF(A545&lt;&gt;Toss[[#This Row],[No]],1,B545+1))</f>
        <v>3</v>
      </c>
      <c r="C546" s="1" t="s">
        <v>1165</v>
      </c>
      <c r="D546" s="1" t="s">
        <v>129</v>
      </c>
      <c r="E546" s="1" t="s">
        <v>73</v>
      </c>
      <c r="F546" s="1" t="s">
        <v>74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234</v>
      </c>
      <c r="L546" s="1" t="s">
        <v>162</v>
      </c>
      <c r="M546">
        <v>38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バーガー赤葦京治ICONIC</v>
      </c>
    </row>
    <row r="547" spans="1:20" x14ac:dyDescent="0.35">
      <c r="A547">
        <f>VLOOKUP(Toss[[#This Row],[No用]],SetNo[[No.用]:[vlookup 用]],2,FALSE)</f>
        <v>187</v>
      </c>
      <c r="B547">
        <f>IF(ROW()=2,1,IF(A546&lt;&gt;Toss[[#This Row],[No]],1,B546+1))</f>
        <v>4</v>
      </c>
      <c r="C547" s="1" t="s">
        <v>1165</v>
      </c>
      <c r="D547" s="1" t="s">
        <v>129</v>
      </c>
      <c r="E547" s="1" t="s">
        <v>73</v>
      </c>
      <c r="F547" s="1" t="s">
        <v>74</v>
      </c>
      <c r="G547" s="1" t="s">
        <v>128</v>
      </c>
      <c r="H547" s="1" t="s">
        <v>71</v>
      </c>
      <c r="I547">
        <v>1</v>
      </c>
      <c r="J547" t="s">
        <v>232</v>
      </c>
      <c r="K547" s="1" t="s">
        <v>172</v>
      </c>
      <c r="L547" s="1" t="s">
        <v>173</v>
      </c>
      <c r="M547">
        <v>41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バーガー赤葦京治ICONIC</v>
      </c>
    </row>
    <row r="548" spans="1:20" x14ac:dyDescent="0.35">
      <c r="A548">
        <f>VLOOKUP(Toss[[#This Row],[No用]],SetNo[[No.用]:[vlookup 用]],2,FALSE)</f>
        <v>187</v>
      </c>
      <c r="B548">
        <f>IF(ROW()=2,1,IF(A547&lt;&gt;Toss[[#This Row],[No]],1,B547+1))</f>
        <v>5</v>
      </c>
      <c r="C548" s="1" t="s">
        <v>1165</v>
      </c>
      <c r="D548" s="1" t="s">
        <v>129</v>
      </c>
      <c r="E548" s="1" t="s">
        <v>73</v>
      </c>
      <c r="F548" s="1" t="s">
        <v>74</v>
      </c>
      <c r="G548" s="1" t="s">
        <v>128</v>
      </c>
      <c r="H548" s="1" t="s">
        <v>71</v>
      </c>
      <c r="I548">
        <v>1</v>
      </c>
      <c r="J548" t="s">
        <v>232</v>
      </c>
      <c r="K548" s="1" t="s">
        <v>233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バーガー赤葦京治ICONIC</v>
      </c>
    </row>
    <row r="549" spans="1:20" x14ac:dyDescent="0.35">
      <c r="A549">
        <f>VLOOKUP(Toss[[#This Row],[No用]],SetNo[[No.用]:[vlookup 用]],2,FALSE)</f>
        <v>187</v>
      </c>
      <c r="B549">
        <f>IF(ROW()=2,1,IF(A548&lt;&gt;Toss[[#This Row],[No]],1,B548+1))</f>
        <v>6</v>
      </c>
      <c r="C549" s="1" t="s">
        <v>1165</v>
      </c>
      <c r="D549" s="1" t="s">
        <v>129</v>
      </c>
      <c r="E549" s="1" t="s">
        <v>73</v>
      </c>
      <c r="F549" s="1" t="s">
        <v>74</v>
      </c>
      <c r="G549" s="1" t="s">
        <v>128</v>
      </c>
      <c r="H549" s="1" t="s">
        <v>71</v>
      </c>
      <c r="I549">
        <v>1</v>
      </c>
      <c r="J549" t="s">
        <v>232</v>
      </c>
      <c r="K549" s="1" t="s">
        <v>183</v>
      </c>
      <c r="L549" s="1" t="s">
        <v>225</v>
      </c>
      <c r="M549">
        <v>50</v>
      </c>
      <c r="N549">
        <v>0</v>
      </c>
      <c r="O549">
        <v>60</v>
      </c>
      <c r="P549">
        <v>0</v>
      </c>
      <c r="T549" t="str">
        <f>Toss[[#This Row],[服装]]&amp;Toss[[#This Row],[名前]]&amp;Toss[[#This Row],[レアリティ]]</f>
        <v>バーガー赤葦京治ICONIC</v>
      </c>
    </row>
    <row r="550" spans="1:20" x14ac:dyDescent="0.35">
      <c r="A550">
        <f>VLOOKUP(Toss[[#This Row],[No用]],SetNo[[No.用]:[vlookup 用]],2,FALSE)</f>
        <v>188</v>
      </c>
      <c r="B550">
        <f>IF(ROW()=2,1,IF(A549&lt;&gt;Toss[[#This Row],[No]],1,B549+1))</f>
        <v>1</v>
      </c>
      <c r="C550" s="1" t="s">
        <v>108</v>
      </c>
      <c r="D550" s="1" t="s">
        <v>1116</v>
      </c>
      <c r="E550" s="1" t="s">
        <v>90</v>
      </c>
      <c r="F550" s="1" t="s">
        <v>78</v>
      </c>
      <c r="G550" s="1" t="s">
        <v>1102</v>
      </c>
      <c r="H550" s="1" t="s">
        <v>690</v>
      </c>
      <c r="I550">
        <v>1</v>
      </c>
      <c r="J550" t="s">
        <v>232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ユニフォーム姫川葵ICONIC</v>
      </c>
    </row>
    <row r="551" spans="1:20" x14ac:dyDescent="0.35">
      <c r="A551">
        <f>VLOOKUP(Toss[[#This Row],[No用]],SetNo[[No.用]:[vlookup 用]],2,FALSE)</f>
        <v>188</v>
      </c>
      <c r="B551">
        <f>IF(ROW()=2,1,IF(A550&lt;&gt;Toss[[#This Row],[No]],1,B550+1))</f>
        <v>2</v>
      </c>
      <c r="C551" s="1" t="s">
        <v>108</v>
      </c>
      <c r="D551" s="1" t="s">
        <v>1116</v>
      </c>
      <c r="E551" s="1" t="s">
        <v>90</v>
      </c>
      <c r="F551" s="1" t="s">
        <v>78</v>
      </c>
      <c r="G551" s="1" t="s">
        <v>1102</v>
      </c>
      <c r="H551" s="1" t="s">
        <v>690</v>
      </c>
      <c r="I551">
        <v>1</v>
      </c>
      <c r="J551" t="s">
        <v>232</v>
      </c>
      <c r="K551" s="1" t="s">
        <v>167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ユニフォーム姫川葵ICONIC</v>
      </c>
    </row>
    <row r="552" spans="1:20" x14ac:dyDescent="0.35">
      <c r="A552">
        <f>VLOOKUP(Toss[[#This Row],[No用]],SetNo[[No.用]:[vlookup 用]],2,FALSE)</f>
        <v>189</v>
      </c>
      <c r="B552">
        <f>IF(ROW()=2,1,IF(A551&lt;&gt;Toss[[#This Row],[No]],1,B551+1))</f>
        <v>1</v>
      </c>
      <c r="C552" s="1" t="s">
        <v>108</v>
      </c>
      <c r="D552" s="1" t="s">
        <v>1130</v>
      </c>
      <c r="E552" s="1" t="s">
        <v>90</v>
      </c>
      <c r="F552" s="1" t="s">
        <v>82</v>
      </c>
      <c r="G552" s="1" t="s">
        <v>1102</v>
      </c>
      <c r="H552" s="1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ユニフォーム当間義友ICONIC</v>
      </c>
    </row>
    <row r="553" spans="1:20" x14ac:dyDescent="0.35">
      <c r="A553">
        <f>VLOOKUP(Toss[[#This Row],[No用]],SetNo[[No.用]:[vlookup 用]],2,FALSE)</f>
        <v>189</v>
      </c>
      <c r="B553">
        <f>IF(ROW()=2,1,IF(A552&lt;&gt;Toss[[#This Row],[No]],1,B552+1))</f>
        <v>2</v>
      </c>
      <c r="C553" s="1" t="s">
        <v>108</v>
      </c>
      <c r="D553" s="1" t="s">
        <v>1130</v>
      </c>
      <c r="E553" s="1" t="s">
        <v>90</v>
      </c>
      <c r="F553" s="1" t="s">
        <v>82</v>
      </c>
      <c r="G553" s="1" t="s">
        <v>1102</v>
      </c>
      <c r="H553" s="1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ユニフォーム当間義友ICONIC</v>
      </c>
    </row>
    <row r="554" spans="1:20" x14ac:dyDescent="0.35">
      <c r="A554">
        <f>VLOOKUP(Toss[[#This Row],[No用]],SetNo[[No.用]:[vlookup 用]],2,FALSE)</f>
        <v>190</v>
      </c>
      <c r="B554">
        <f>IF(ROW()=2,1,IF(A553&lt;&gt;Toss[[#This Row],[No]],1,B553+1))</f>
        <v>1</v>
      </c>
      <c r="C554" s="1" t="s">
        <v>108</v>
      </c>
      <c r="D554" s="1" t="s">
        <v>1100</v>
      </c>
      <c r="E554" s="1" t="s">
        <v>90</v>
      </c>
      <c r="F554" s="1" t="s">
        <v>74</v>
      </c>
      <c r="G554" s="1" t="s">
        <v>1102</v>
      </c>
      <c r="H554" s="1" t="s">
        <v>71</v>
      </c>
      <c r="I554">
        <v>1</v>
      </c>
      <c r="J554" t="s">
        <v>232</v>
      </c>
      <c r="K554" s="1" t="s">
        <v>166</v>
      </c>
      <c r="L554" s="1" t="s">
        <v>173</v>
      </c>
      <c r="M554">
        <v>37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ユニフォーム越後栄ICONIC</v>
      </c>
    </row>
    <row r="555" spans="1:20" x14ac:dyDescent="0.35">
      <c r="A555">
        <f>VLOOKUP(Toss[[#This Row],[No用]],SetNo[[No.用]:[vlookup 用]],2,FALSE)</f>
        <v>190</v>
      </c>
      <c r="B555">
        <f>IF(ROW()=2,1,IF(A554&lt;&gt;Toss[[#This Row],[No]],1,B554+1))</f>
        <v>2</v>
      </c>
      <c r="C555" s="1" t="s">
        <v>108</v>
      </c>
      <c r="D555" s="1" t="s">
        <v>1100</v>
      </c>
      <c r="E555" s="1" t="s">
        <v>90</v>
      </c>
      <c r="F555" s="1" t="s">
        <v>74</v>
      </c>
      <c r="G555" s="1" t="s">
        <v>1102</v>
      </c>
      <c r="H555" s="1" t="s">
        <v>71</v>
      </c>
      <c r="I555">
        <v>1</v>
      </c>
      <c r="J555" t="s">
        <v>232</v>
      </c>
      <c r="K555" s="1" t="s">
        <v>169</v>
      </c>
      <c r="L555" s="1" t="s">
        <v>178</v>
      </c>
      <c r="M555">
        <v>37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ユニフォーム越後栄ICONIC</v>
      </c>
    </row>
    <row r="556" spans="1:20" x14ac:dyDescent="0.35">
      <c r="A556">
        <f>VLOOKUP(Toss[[#This Row],[No用]],SetNo[[No.用]:[vlookup 用]],2,FALSE)</f>
        <v>190</v>
      </c>
      <c r="B556">
        <f>IF(ROW()=2,1,IF(A555&lt;&gt;Toss[[#This Row],[No]],1,B555+1))</f>
        <v>3</v>
      </c>
      <c r="C556" s="1" t="s">
        <v>108</v>
      </c>
      <c r="D556" s="1" t="s">
        <v>1100</v>
      </c>
      <c r="E556" s="1" t="s">
        <v>90</v>
      </c>
      <c r="F556" s="1" t="s">
        <v>74</v>
      </c>
      <c r="G556" s="1" t="s">
        <v>1102</v>
      </c>
      <c r="H556" s="1" t="s">
        <v>71</v>
      </c>
      <c r="I556">
        <v>1</v>
      </c>
      <c r="J556" t="s">
        <v>232</v>
      </c>
      <c r="K556" s="1" t="s">
        <v>181</v>
      </c>
      <c r="L556" s="1" t="s">
        <v>173</v>
      </c>
      <c r="M556">
        <v>40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ユニフォーム越後栄ICONIC</v>
      </c>
    </row>
    <row r="557" spans="1:20" x14ac:dyDescent="0.35">
      <c r="A557">
        <f>VLOOKUP(Toss[[#This Row],[No用]],SetNo[[No.用]:[vlookup 用]],2,FALSE)</f>
        <v>190</v>
      </c>
      <c r="B557">
        <f>IF(ROW()=2,1,IF(A556&lt;&gt;Toss[[#This Row],[No]],1,B556+1))</f>
        <v>4</v>
      </c>
      <c r="C557" s="1" t="s">
        <v>108</v>
      </c>
      <c r="D557" s="1" t="s">
        <v>1100</v>
      </c>
      <c r="E557" s="1" t="s">
        <v>90</v>
      </c>
      <c r="F557" s="1" t="s">
        <v>74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233</v>
      </c>
      <c r="L557" s="1" t="s">
        <v>173</v>
      </c>
      <c r="M557">
        <v>37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ユニフォーム越後栄ICONIC</v>
      </c>
    </row>
    <row r="558" spans="1:20" x14ac:dyDescent="0.35">
      <c r="A558">
        <f>VLOOKUP(Toss[[#This Row],[No用]],SetNo[[No.用]:[vlookup 用]],2,FALSE)</f>
        <v>190</v>
      </c>
      <c r="B558">
        <f>IF(ROW()=2,1,IF(A557&lt;&gt;Toss[[#This Row],[No]],1,B557+1))</f>
        <v>5</v>
      </c>
      <c r="C558" s="1" t="s">
        <v>108</v>
      </c>
      <c r="D558" s="1" t="s">
        <v>1100</v>
      </c>
      <c r="E558" s="1" t="s">
        <v>90</v>
      </c>
      <c r="F558" s="1" t="s">
        <v>74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183</v>
      </c>
      <c r="L558" s="1" t="s">
        <v>225</v>
      </c>
      <c r="M558">
        <v>48</v>
      </c>
      <c r="N558">
        <v>0</v>
      </c>
      <c r="O558">
        <v>58</v>
      </c>
      <c r="P558">
        <v>0</v>
      </c>
      <c r="T558" t="str">
        <f>Toss[[#This Row],[服装]]&amp;Toss[[#This Row],[名前]]&amp;Toss[[#This Row],[レアリティ]]</f>
        <v>ユニフォーム越後栄ICONIC</v>
      </c>
    </row>
    <row r="559" spans="1:20" x14ac:dyDescent="0.35">
      <c r="A559">
        <f>VLOOKUP(Toss[[#This Row],[No用]],SetNo[[No.用]:[vlookup 用]],2,FALSE)</f>
        <v>190</v>
      </c>
      <c r="B559">
        <f>IF(ROW()=2,1,IF(A558&lt;&gt;Toss[[#This Row],[No]],1,B558+1))</f>
        <v>6</v>
      </c>
      <c r="C559" s="1" t="s">
        <v>108</v>
      </c>
      <c r="D559" s="1" t="s">
        <v>1100</v>
      </c>
      <c r="E559" s="1" t="s">
        <v>90</v>
      </c>
      <c r="F559" s="1" t="s">
        <v>74</v>
      </c>
      <c r="G559" s="1" t="s">
        <v>1102</v>
      </c>
      <c r="H559" s="1" t="s">
        <v>71</v>
      </c>
      <c r="I559">
        <v>1</v>
      </c>
      <c r="J559" t="s">
        <v>232</v>
      </c>
      <c r="K559" s="1" t="s">
        <v>169</v>
      </c>
      <c r="L559" s="1" t="s">
        <v>225</v>
      </c>
      <c r="M559">
        <v>48</v>
      </c>
      <c r="N559">
        <v>0</v>
      </c>
      <c r="O559">
        <v>58</v>
      </c>
      <c r="P559">
        <v>0</v>
      </c>
      <c r="Q559" s="1" t="s">
        <v>1105</v>
      </c>
      <c r="T559" t="str">
        <f>Toss[[#This Row],[服装]]&amp;Toss[[#This Row],[名前]]&amp;Toss[[#This Row],[レアリティ]]</f>
        <v>ユニフォーム越後栄ICONIC</v>
      </c>
    </row>
    <row r="560" spans="1:20" x14ac:dyDescent="0.35">
      <c r="A560">
        <f>VLOOKUP(Toss[[#This Row],[No用]],SetNo[[No.用]:[vlookup 用]],2,FALSE)</f>
        <v>191</v>
      </c>
      <c r="B560">
        <f>IF(ROW()=2,1,IF(A559&lt;&gt;Toss[[#This Row],[No]],1,B559+1))</f>
        <v>1</v>
      </c>
      <c r="C560" s="1" t="s">
        <v>108</v>
      </c>
      <c r="D560" s="1" t="s">
        <v>1136</v>
      </c>
      <c r="E560" s="1" t="s">
        <v>90</v>
      </c>
      <c r="F560" s="1" t="s">
        <v>80</v>
      </c>
      <c r="G560" s="1" t="s">
        <v>1102</v>
      </c>
      <c r="H560" s="1" t="s">
        <v>71</v>
      </c>
      <c r="I560">
        <v>1</v>
      </c>
      <c r="J560" t="s">
        <v>232</v>
      </c>
      <c r="K560" s="1" t="s">
        <v>166</v>
      </c>
      <c r="L560" s="1" t="s">
        <v>162</v>
      </c>
      <c r="M560">
        <v>26</v>
      </c>
      <c r="N560">
        <v>0</v>
      </c>
      <c r="O560">
        <v>0</v>
      </c>
      <c r="P560">
        <v>0</v>
      </c>
      <c r="Q560" s="1"/>
      <c r="T560" t="str">
        <f>Toss[[#This Row],[服装]]&amp;Toss[[#This Row],[名前]]&amp;Toss[[#This Row],[レアリティ]]</f>
        <v>ユニフォーム貝掛亮文ICONIC</v>
      </c>
    </row>
    <row r="561" spans="1:20" x14ac:dyDescent="0.35">
      <c r="A561">
        <f>VLOOKUP(Toss[[#This Row],[No用]],SetNo[[No.用]:[vlookup 用]],2,FALSE)</f>
        <v>192</v>
      </c>
      <c r="B561">
        <f>IF(ROW()=2,1,IF(A560&lt;&gt;Toss[[#This Row],[No]],1,B560+1))</f>
        <v>1</v>
      </c>
      <c r="C561" s="1" t="s">
        <v>108</v>
      </c>
      <c r="D561" s="1" t="s">
        <v>1147</v>
      </c>
      <c r="E561" s="1" t="s">
        <v>73</v>
      </c>
      <c r="F561" s="1" t="s">
        <v>78</v>
      </c>
      <c r="G561" s="1" t="s">
        <v>1102</v>
      </c>
      <c r="H561" s="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24</v>
      </c>
      <c r="N561">
        <v>0</v>
      </c>
      <c r="O561">
        <v>0</v>
      </c>
      <c r="P561">
        <v>0</v>
      </c>
      <c r="Q561" s="1"/>
      <c r="T561" t="str">
        <f>Toss[[#This Row],[服装]]&amp;Toss[[#This Row],[名前]]&amp;Toss[[#This Row],[レアリティ]]</f>
        <v>ユニフォーム丸山一喜ICONIC</v>
      </c>
    </row>
    <row r="562" spans="1:20" x14ac:dyDescent="0.35">
      <c r="A562">
        <f>VLOOKUP(Toss[[#This Row],[No用]],SetNo[[No.用]:[vlookup 用]],2,FALSE)</f>
        <v>192</v>
      </c>
      <c r="B562">
        <f>IF(ROW()=2,1,IF(A561&lt;&gt;Toss[[#This Row],[No]],1,B561+1))</f>
        <v>2</v>
      </c>
      <c r="C562" s="1" t="s">
        <v>108</v>
      </c>
      <c r="D562" s="1" t="s">
        <v>1147</v>
      </c>
      <c r="E562" s="1" t="s">
        <v>73</v>
      </c>
      <c r="F562" s="1" t="s">
        <v>78</v>
      </c>
      <c r="G562" s="1" t="s">
        <v>1102</v>
      </c>
      <c r="H562" s="1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33</v>
      </c>
      <c r="N562">
        <v>0</v>
      </c>
      <c r="O562">
        <v>0</v>
      </c>
      <c r="P562">
        <v>0</v>
      </c>
      <c r="Q562" s="1"/>
      <c r="T562" t="str">
        <f>Toss[[#This Row],[服装]]&amp;Toss[[#This Row],[名前]]&amp;Toss[[#This Row],[レアリティ]]</f>
        <v>ユニフォーム丸山一喜ICONIC</v>
      </c>
    </row>
    <row r="563" spans="1:20" x14ac:dyDescent="0.35">
      <c r="A563">
        <f>VLOOKUP(Toss[[#This Row],[No用]],SetNo[[No.用]:[vlookup 用]],2,FALSE)</f>
        <v>193</v>
      </c>
      <c r="B563">
        <f>IF(ROW()=2,1,IF(A562&lt;&gt;Toss[[#This Row],[No]],1,B562+1))</f>
        <v>1</v>
      </c>
      <c r="C563" s="1" t="s">
        <v>108</v>
      </c>
      <c r="D563" s="1" t="s">
        <v>1152</v>
      </c>
      <c r="E563" s="1" t="s">
        <v>90</v>
      </c>
      <c r="F563" s="1" t="s">
        <v>78</v>
      </c>
      <c r="G563" s="1" t="s">
        <v>1102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19</v>
      </c>
      <c r="N563">
        <v>0</v>
      </c>
      <c r="O563">
        <v>0</v>
      </c>
      <c r="P563">
        <v>0</v>
      </c>
      <c r="Q563" s="1"/>
      <c r="T563" t="str">
        <f>Toss[[#This Row],[服装]]&amp;Toss[[#This Row],[名前]]&amp;Toss[[#This Row],[レアリティ]]</f>
        <v>ユニフォーム舞子侑志ICONIC</v>
      </c>
    </row>
    <row r="564" spans="1:20" x14ac:dyDescent="0.35">
      <c r="A564">
        <f>VLOOKUP(Toss[[#This Row],[No用]],SetNo[[No.用]:[vlookup 用]],2,FALSE)</f>
        <v>193</v>
      </c>
      <c r="B564">
        <f>IF(ROW()=2,1,IF(A563&lt;&gt;Toss[[#This Row],[No]],1,B563+1))</f>
        <v>2</v>
      </c>
      <c r="C564" s="1" t="s">
        <v>108</v>
      </c>
      <c r="D564" s="1" t="s">
        <v>1152</v>
      </c>
      <c r="E564" s="1" t="s">
        <v>90</v>
      </c>
      <c r="F564" s="1" t="s">
        <v>78</v>
      </c>
      <c r="G564" s="1" t="s">
        <v>1102</v>
      </c>
      <c r="H564" s="1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23</v>
      </c>
      <c r="N564">
        <v>0</v>
      </c>
      <c r="O564">
        <v>0</v>
      </c>
      <c r="P564">
        <v>0</v>
      </c>
      <c r="Q564" s="1"/>
      <c r="T564" t="str">
        <f>Toss[[#This Row],[服装]]&amp;Toss[[#This Row],[名前]]&amp;Toss[[#This Row],[レアリティ]]</f>
        <v>ユニフォーム舞子侑志ICONIC</v>
      </c>
    </row>
    <row r="565" spans="1:20" x14ac:dyDescent="0.35">
      <c r="A565">
        <f>VLOOKUP(Toss[[#This Row],[No用]],SetNo[[No.用]:[vlookup 用]],2,FALSE)</f>
        <v>194</v>
      </c>
      <c r="B565">
        <f>IF(ROW()=2,1,IF(A564&lt;&gt;Toss[[#This Row],[No]],1,B564+1))</f>
        <v>1</v>
      </c>
      <c r="C565" s="1" t="s">
        <v>108</v>
      </c>
      <c r="D565" s="1" t="s">
        <v>1110</v>
      </c>
      <c r="E565" s="1" t="s">
        <v>90</v>
      </c>
      <c r="F565" s="1" t="s">
        <v>78</v>
      </c>
      <c r="G565" s="1" t="s">
        <v>1102</v>
      </c>
      <c r="H565" s="1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ユニフォーム寺泊基希ICONIC</v>
      </c>
    </row>
    <row r="566" spans="1:20" x14ac:dyDescent="0.35">
      <c r="A566">
        <f>VLOOKUP(Toss[[#This Row],[No用]],SetNo[[No.用]:[vlookup 用]],2,FALSE)</f>
        <v>195</v>
      </c>
      <c r="B566">
        <f>IF(ROW()=2,1,IF(A565&lt;&gt;Toss[[#This Row],[No]],1,B565+1))</f>
        <v>1</v>
      </c>
      <c r="C566" t="s">
        <v>108</v>
      </c>
      <c r="D566" t="s">
        <v>283</v>
      </c>
      <c r="E566" t="s">
        <v>77</v>
      </c>
      <c r="F566" t="s">
        <v>78</v>
      </c>
      <c r="G566" t="s">
        <v>134</v>
      </c>
      <c r="H566" t="s">
        <v>71</v>
      </c>
      <c r="I566">
        <v>1</v>
      </c>
      <c r="J566" t="s">
        <v>232</v>
      </c>
      <c r="K566" s="1" t="s">
        <v>166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ユニフォーム星海光来ICONIC</v>
      </c>
    </row>
    <row r="567" spans="1:20" x14ac:dyDescent="0.35">
      <c r="A567">
        <f>VLOOKUP(Toss[[#This Row],[No用]],SetNo[[No.用]:[vlookup 用]],2,FALSE)</f>
        <v>195</v>
      </c>
      <c r="B567">
        <f>IF(ROW()=2,1,IF(A566&lt;&gt;Toss[[#This Row],[No]],1,B566+1))</f>
        <v>2</v>
      </c>
      <c r="C567" t="s">
        <v>108</v>
      </c>
      <c r="D567" t="s">
        <v>283</v>
      </c>
      <c r="E567" t="s">
        <v>77</v>
      </c>
      <c r="F567" t="s">
        <v>78</v>
      </c>
      <c r="G567" t="s">
        <v>134</v>
      </c>
      <c r="H567" t="s">
        <v>71</v>
      </c>
      <c r="I567">
        <v>1</v>
      </c>
      <c r="J567" t="s">
        <v>232</v>
      </c>
      <c r="K567" s="1" t="s">
        <v>167</v>
      </c>
      <c r="L567" s="1" t="s">
        <v>162</v>
      </c>
      <c r="M567">
        <v>32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ユニフォーム星海光来ICONIC</v>
      </c>
    </row>
    <row r="568" spans="1:20" x14ac:dyDescent="0.35">
      <c r="A568">
        <f>VLOOKUP(Toss[[#This Row],[No用]],SetNo[[No.用]:[vlookup 用]],2,FALSE)</f>
        <v>196</v>
      </c>
      <c r="B568">
        <f>IF(ROW()=2,1,IF(A567&lt;&gt;Toss[[#This Row],[No]],1,B567+1))</f>
        <v>1</v>
      </c>
      <c r="C568" s="1" t="s">
        <v>895</v>
      </c>
      <c r="D568" t="s">
        <v>283</v>
      </c>
      <c r="E568" s="1" t="s">
        <v>73</v>
      </c>
      <c r="F568" t="s">
        <v>78</v>
      </c>
      <c r="G568" t="s">
        <v>134</v>
      </c>
      <c r="H568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文化祭星海光来ICONIC</v>
      </c>
    </row>
    <row r="569" spans="1:20" x14ac:dyDescent="0.35">
      <c r="A569">
        <f>VLOOKUP(Toss[[#This Row],[No用]],SetNo[[No.用]:[vlookup 用]],2,FALSE)</f>
        <v>196</v>
      </c>
      <c r="B569">
        <f>IF(ROW()=2,1,IF(A568&lt;&gt;Toss[[#This Row],[No]],1,B568+1))</f>
        <v>2</v>
      </c>
      <c r="C569" s="1" t="s">
        <v>895</v>
      </c>
      <c r="D569" t="s">
        <v>283</v>
      </c>
      <c r="E569" s="1" t="s">
        <v>73</v>
      </c>
      <c r="F569" t="s">
        <v>78</v>
      </c>
      <c r="G569" t="s">
        <v>134</v>
      </c>
      <c r="H569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32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文化祭星海光来ICONIC</v>
      </c>
    </row>
    <row r="570" spans="1:20" x14ac:dyDescent="0.35">
      <c r="A570">
        <f>VLOOKUP(Toss[[#This Row],[No用]],SetNo[[No.用]:[vlookup 用]],2,FALSE)</f>
        <v>197</v>
      </c>
      <c r="B570">
        <f>IF(ROW()=2,1,IF(A569&lt;&gt;Toss[[#This Row],[No]],1,B569+1))</f>
        <v>1</v>
      </c>
      <c r="C570" s="1" t="s">
        <v>1049</v>
      </c>
      <c r="D570" s="1" t="s">
        <v>283</v>
      </c>
      <c r="E570" s="1" t="s">
        <v>90</v>
      </c>
      <c r="F570" s="1" t="s">
        <v>78</v>
      </c>
      <c r="G570" s="1" t="s">
        <v>134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サバゲ星海光来ICONIC</v>
      </c>
    </row>
    <row r="571" spans="1:20" x14ac:dyDescent="0.35">
      <c r="A571">
        <f>VLOOKUP(Toss[[#This Row],[No用]],SetNo[[No.用]:[vlookup 用]],2,FALSE)</f>
        <v>197</v>
      </c>
      <c r="B571">
        <f>IF(ROW()=2,1,IF(A570&lt;&gt;Toss[[#This Row],[No]],1,B570+1))</f>
        <v>2</v>
      </c>
      <c r="C571" s="1" t="s">
        <v>1049</v>
      </c>
      <c r="D571" s="1" t="s">
        <v>283</v>
      </c>
      <c r="E571" s="1" t="s">
        <v>90</v>
      </c>
      <c r="F571" s="1" t="s">
        <v>78</v>
      </c>
      <c r="G571" s="1" t="s">
        <v>134</v>
      </c>
      <c r="H571" s="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サバゲ星海光来ICONIC</v>
      </c>
    </row>
    <row r="572" spans="1:20" x14ac:dyDescent="0.35">
      <c r="A572">
        <f>VLOOKUP(Toss[[#This Row],[No用]],SetNo[[No.用]:[vlookup 用]],2,FALSE)</f>
        <v>198</v>
      </c>
      <c r="B572">
        <f>IF(ROW()=2,1,IF(A571&lt;&gt;Toss[[#This Row],[No]],1,B571+1))</f>
        <v>1</v>
      </c>
      <c r="C572" t="s">
        <v>108</v>
      </c>
      <c r="D572" t="s">
        <v>133</v>
      </c>
      <c r="E572" t="s">
        <v>77</v>
      </c>
      <c r="F572" t="s">
        <v>82</v>
      </c>
      <c r="G572" t="s">
        <v>134</v>
      </c>
      <c r="H572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ユニフォーム昼神幸郎ICONIC</v>
      </c>
    </row>
    <row r="573" spans="1:20" x14ac:dyDescent="0.35">
      <c r="A573">
        <f>VLOOKUP(Toss[[#This Row],[No用]],SetNo[[No.用]:[vlookup 用]],2,FALSE)</f>
        <v>198</v>
      </c>
      <c r="B573">
        <f>IF(ROW()=2,1,IF(A572&lt;&gt;Toss[[#This Row],[No]],1,B572+1))</f>
        <v>2</v>
      </c>
      <c r="C573" t="s">
        <v>108</v>
      </c>
      <c r="D573" t="s">
        <v>133</v>
      </c>
      <c r="E573" t="s">
        <v>77</v>
      </c>
      <c r="F573" t="s">
        <v>82</v>
      </c>
      <c r="G573" t="s">
        <v>134</v>
      </c>
      <c r="H573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ユニフォーム昼神幸郎ICONIC</v>
      </c>
    </row>
    <row r="574" spans="1:20" x14ac:dyDescent="0.35">
      <c r="A574">
        <f>VLOOKUP(Toss[[#This Row],[No用]],SetNo[[No.用]:[vlookup 用]],2,FALSE)</f>
        <v>199</v>
      </c>
      <c r="B574">
        <f>IF(ROW()=2,1,IF(A573&lt;&gt;Toss[[#This Row],[No]],1,B573+1))</f>
        <v>1</v>
      </c>
      <c r="C574" s="1" t="s">
        <v>915</v>
      </c>
      <c r="D574" t="s">
        <v>133</v>
      </c>
      <c r="E574" s="1" t="s">
        <v>73</v>
      </c>
      <c r="F574" t="s">
        <v>82</v>
      </c>
      <c r="G574" t="s">
        <v>134</v>
      </c>
      <c r="H574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Xmas昼神幸郎ICONIC</v>
      </c>
    </row>
    <row r="575" spans="1:20" x14ac:dyDescent="0.35">
      <c r="A575">
        <f>VLOOKUP(Toss[[#This Row],[No用]],SetNo[[No.用]:[vlookup 用]],2,FALSE)</f>
        <v>199</v>
      </c>
      <c r="B575">
        <f>IF(ROW()=2,1,IF(A574&lt;&gt;Toss[[#This Row],[No]],1,B574+1))</f>
        <v>2</v>
      </c>
      <c r="C575" s="1" t="s">
        <v>915</v>
      </c>
      <c r="D575" t="s">
        <v>133</v>
      </c>
      <c r="E575" s="1" t="s">
        <v>73</v>
      </c>
      <c r="F575" t="s">
        <v>82</v>
      </c>
      <c r="G575" t="s">
        <v>134</v>
      </c>
      <c r="H575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Xmas昼神幸郎ICONIC</v>
      </c>
    </row>
    <row r="576" spans="1:20" x14ac:dyDescent="0.35">
      <c r="A576">
        <f>VLOOKUP(Toss[[#This Row],[No用]],SetNo[[No.用]:[vlookup 用]],2,FALSE)</f>
        <v>200</v>
      </c>
      <c r="B576">
        <f>IF(ROW()=2,1,IF(A575&lt;&gt;Toss[[#This Row],[No]],1,B575+1))</f>
        <v>1</v>
      </c>
      <c r="C576" t="s">
        <v>108</v>
      </c>
      <c r="D576" t="s">
        <v>131</v>
      </c>
      <c r="E576" t="s">
        <v>77</v>
      </c>
      <c r="F576" t="s">
        <v>78</v>
      </c>
      <c r="G576" t="s">
        <v>135</v>
      </c>
      <c r="H576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ユニフォーム佐久早聖臣ICONIC</v>
      </c>
    </row>
    <row r="577" spans="1:20" x14ac:dyDescent="0.35">
      <c r="A577">
        <f>VLOOKUP(Toss[[#This Row],[No用]],SetNo[[No.用]:[vlookup 用]],2,FALSE)</f>
        <v>200</v>
      </c>
      <c r="B577">
        <f>IF(ROW()=2,1,IF(A576&lt;&gt;Toss[[#This Row],[No]],1,B576+1))</f>
        <v>2</v>
      </c>
      <c r="C577" t="s">
        <v>108</v>
      </c>
      <c r="D577" t="s">
        <v>131</v>
      </c>
      <c r="E577" t="s">
        <v>77</v>
      </c>
      <c r="F577" t="s">
        <v>78</v>
      </c>
      <c r="G577" t="s">
        <v>135</v>
      </c>
      <c r="H577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32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ユニフォーム佐久早聖臣ICONIC</v>
      </c>
    </row>
    <row r="578" spans="1:20" x14ac:dyDescent="0.35">
      <c r="A578">
        <f>VLOOKUP(Toss[[#This Row],[No用]],SetNo[[No.用]:[vlookup 用]],2,FALSE)</f>
        <v>201</v>
      </c>
      <c r="B578">
        <f>IF(ROW()=2,1,IF(A577&lt;&gt;Toss[[#This Row],[No]],1,B577+1))</f>
        <v>1</v>
      </c>
      <c r="C578" s="1" t="s">
        <v>1049</v>
      </c>
      <c r="D578" s="1" t="s">
        <v>131</v>
      </c>
      <c r="E578" s="1" t="s">
        <v>73</v>
      </c>
      <c r="F578" s="1" t="s">
        <v>78</v>
      </c>
      <c r="G578" s="1" t="s">
        <v>135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サバゲ佐久早聖臣ICONIC</v>
      </c>
    </row>
    <row r="579" spans="1:20" x14ac:dyDescent="0.35">
      <c r="A579">
        <f>VLOOKUP(Toss[[#This Row],[No用]],SetNo[[No.用]:[vlookup 用]],2,FALSE)</f>
        <v>201</v>
      </c>
      <c r="B579">
        <f>IF(ROW()=2,1,IF(A578&lt;&gt;Toss[[#This Row],[No]],1,B578+1))</f>
        <v>2</v>
      </c>
      <c r="C579" s="1" t="s">
        <v>1049</v>
      </c>
      <c r="D579" s="1" t="s">
        <v>131</v>
      </c>
      <c r="E579" s="1" t="s">
        <v>73</v>
      </c>
      <c r="F579" s="1" t="s">
        <v>78</v>
      </c>
      <c r="G579" s="1" t="s">
        <v>135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32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サバゲ佐久早聖臣ICONIC</v>
      </c>
    </row>
    <row r="580" spans="1:20" x14ac:dyDescent="0.35">
      <c r="A580">
        <f>VLOOKUP(Toss[[#This Row],[No用]],SetNo[[No.用]:[vlookup 用]],2,FALSE)</f>
        <v>202</v>
      </c>
      <c r="B580">
        <f>IF(ROW()=2,1,IF(A579&lt;&gt;Toss[[#This Row],[No]],1,B579+1))</f>
        <v>1</v>
      </c>
      <c r="C580" t="s">
        <v>108</v>
      </c>
      <c r="D580" t="s">
        <v>132</v>
      </c>
      <c r="E580" t="s">
        <v>77</v>
      </c>
      <c r="F580" t="s">
        <v>80</v>
      </c>
      <c r="G580" t="s">
        <v>135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ユニフォーム小森元也ICONIC</v>
      </c>
    </row>
    <row r="581" spans="1:20" x14ac:dyDescent="0.35">
      <c r="A581">
        <f>VLOOKUP(Toss[[#This Row],[No用]],SetNo[[No.用]:[vlookup 用]],2,FALSE)</f>
        <v>202</v>
      </c>
      <c r="B581">
        <f>IF(ROW()=2,1,IF(A580&lt;&gt;Toss[[#This Row],[No]],1,B580+1))</f>
        <v>2</v>
      </c>
      <c r="C581" t="s">
        <v>108</v>
      </c>
      <c r="D581" t="s">
        <v>132</v>
      </c>
      <c r="E581" t="s">
        <v>77</v>
      </c>
      <c r="F581" t="s">
        <v>80</v>
      </c>
      <c r="G581" t="s">
        <v>135</v>
      </c>
      <c r="H581" t="s">
        <v>71</v>
      </c>
      <c r="I581">
        <v>1</v>
      </c>
      <c r="J581" t="s">
        <v>232</v>
      </c>
      <c r="K581" s="1" t="s">
        <v>169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ユニフォーム小森元也ICONIC</v>
      </c>
    </row>
    <row r="582" spans="1:20" x14ac:dyDescent="0.35">
      <c r="A582">
        <f>VLOOKUP(Toss[[#This Row],[No用]],SetNo[[No.用]:[vlookup 用]],2,FALSE)</f>
        <v>203</v>
      </c>
      <c r="B582">
        <f>IF(ROW()=2,1,IF(A581&lt;&gt;Toss[[#This Row],[No]],1,B581+1))</f>
        <v>1</v>
      </c>
      <c r="C582" t="s">
        <v>108</v>
      </c>
      <c r="D582" s="1" t="s">
        <v>687</v>
      </c>
      <c r="E582" s="1" t="s">
        <v>90</v>
      </c>
      <c r="F582" s="1" t="s">
        <v>78</v>
      </c>
      <c r="G582" s="1" t="s">
        <v>689</v>
      </c>
      <c r="H582" t="s">
        <v>71</v>
      </c>
      <c r="I582">
        <v>1</v>
      </c>
      <c r="J582" t="s">
        <v>394</v>
      </c>
      <c r="K582" s="1" t="s">
        <v>166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ユニフォーム大将優ICONIC</v>
      </c>
    </row>
    <row r="583" spans="1:20" x14ac:dyDescent="0.35">
      <c r="A583">
        <f>VLOOKUP(Toss[[#This Row],[No用]],SetNo[[No.用]:[vlookup 用]],2,FALSE)</f>
        <v>203</v>
      </c>
      <c r="B583">
        <f>IF(ROW()=2,1,IF(A582&lt;&gt;Toss[[#This Row],[No]],1,B582+1))</f>
        <v>2</v>
      </c>
      <c r="C583" t="s">
        <v>108</v>
      </c>
      <c r="D583" s="1" t="s">
        <v>687</v>
      </c>
      <c r="E583" s="1" t="s">
        <v>90</v>
      </c>
      <c r="F583" s="1" t="s">
        <v>78</v>
      </c>
      <c r="G583" s="1" t="s">
        <v>689</v>
      </c>
      <c r="H583" t="s">
        <v>71</v>
      </c>
      <c r="I583">
        <v>1</v>
      </c>
      <c r="J583" t="s">
        <v>394</v>
      </c>
      <c r="K583" s="1" t="s">
        <v>167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ユニフォーム大将優ICONIC</v>
      </c>
    </row>
    <row r="584" spans="1:20" x14ac:dyDescent="0.35">
      <c r="A584">
        <f>VLOOKUP(Toss[[#This Row],[No用]],SetNo[[No.用]:[vlookup 用]],2,FALSE)</f>
        <v>204</v>
      </c>
      <c r="B584">
        <f>IF(ROW()=2,1,IF(A583&lt;&gt;Toss[[#This Row],[No]],1,B583+1))</f>
        <v>1</v>
      </c>
      <c r="C584" s="1" t="s">
        <v>935</v>
      </c>
      <c r="D584" s="1" t="s">
        <v>687</v>
      </c>
      <c r="E584" s="1" t="s">
        <v>77</v>
      </c>
      <c r="F584" s="1" t="s">
        <v>78</v>
      </c>
      <c r="G584" s="1" t="s">
        <v>689</v>
      </c>
      <c r="H584" s="1" t="s">
        <v>690</v>
      </c>
      <c r="I584">
        <v>1</v>
      </c>
      <c r="J584" t="s">
        <v>232</v>
      </c>
      <c r="K584" s="1" t="s">
        <v>166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新年大将優ICONIC</v>
      </c>
    </row>
    <row r="585" spans="1:20" x14ac:dyDescent="0.35">
      <c r="A585">
        <f>VLOOKUP(Toss[[#This Row],[No用]],SetNo[[No.用]:[vlookup 用]],2,FALSE)</f>
        <v>204</v>
      </c>
      <c r="B585">
        <f>IF(ROW()=2,1,IF(A584&lt;&gt;Toss[[#This Row],[No]],1,B584+1))</f>
        <v>2</v>
      </c>
      <c r="C585" s="1" t="s">
        <v>935</v>
      </c>
      <c r="D585" s="1" t="s">
        <v>687</v>
      </c>
      <c r="E585" s="1" t="s">
        <v>77</v>
      </c>
      <c r="F585" s="1" t="s">
        <v>78</v>
      </c>
      <c r="G585" s="1" t="s">
        <v>689</v>
      </c>
      <c r="H585" s="1" t="s">
        <v>690</v>
      </c>
      <c r="I585">
        <v>1</v>
      </c>
      <c r="J585" t="s">
        <v>394</v>
      </c>
      <c r="K585" s="1" t="s">
        <v>167</v>
      </c>
      <c r="L585" s="1" t="s">
        <v>178</v>
      </c>
      <c r="M585">
        <v>31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新年大将優ICONIC</v>
      </c>
    </row>
    <row r="586" spans="1:20" x14ac:dyDescent="0.35">
      <c r="A586">
        <f>VLOOKUP(Toss[[#This Row],[No用]],SetNo[[No.用]:[vlookup 用]],2,FALSE)</f>
        <v>204</v>
      </c>
      <c r="B586">
        <f>IF(ROW()=2,1,IF(A585&lt;&gt;Toss[[#This Row],[No]],1,B585+1))</f>
        <v>3</v>
      </c>
      <c r="C586" s="1" t="s">
        <v>935</v>
      </c>
      <c r="D586" s="1" t="s">
        <v>687</v>
      </c>
      <c r="E586" s="1" t="s">
        <v>77</v>
      </c>
      <c r="F586" s="1" t="s">
        <v>78</v>
      </c>
      <c r="G586" s="1" t="s">
        <v>689</v>
      </c>
      <c r="H586" s="1" t="s">
        <v>690</v>
      </c>
      <c r="I586">
        <v>1</v>
      </c>
      <c r="J586" t="s">
        <v>394</v>
      </c>
      <c r="K586" s="1" t="s">
        <v>167</v>
      </c>
      <c r="L586" s="1" t="s">
        <v>225</v>
      </c>
      <c r="M586">
        <v>44</v>
      </c>
      <c r="N586">
        <v>0</v>
      </c>
      <c r="O586">
        <v>54</v>
      </c>
      <c r="P586">
        <v>0</v>
      </c>
      <c r="T586" t="str">
        <f>Toss[[#This Row],[服装]]&amp;Toss[[#This Row],[名前]]&amp;Toss[[#This Row],[レアリティ]]</f>
        <v>新年大将優ICONIC</v>
      </c>
    </row>
    <row r="587" spans="1:20" x14ac:dyDescent="0.35">
      <c r="A587">
        <f>VLOOKUP(Toss[[#This Row],[No用]],SetNo[[No.用]:[vlookup 用]],2,FALSE)</f>
        <v>205</v>
      </c>
      <c r="B587">
        <f>IF(ROW()=2,1,IF(A586&lt;&gt;Toss[[#This Row],[No]],1,B586+1))</f>
        <v>1</v>
      </c>
      <c r="C587" t="s">
        <v>108</v>
      </c>
      <c r="D587" s="1" t="s">
        <v>692</v>
      </c>
      <c r="E587" s="1" t="s">
        <v>90</v>
      </c>
      <c r="F587" s="1" t="s">
        <v>78</v>
      </c>
      <c r="G587" s="1" t="s">
        <v>689</v>
      </c>
      <c r="H587" t="s">
        <v>71</v>
      </c>
      <c r="I587">
        <v>1</v>
      </c>
      <c r="J587" t="s">
        <v>394</v>
      </c>
      <c r="K587" s="1" t="s">
        <v>166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ユニフォーム沼井和馬ICONIC</v>
      </c>
    </row>
    <row r="588" spans="1:20" x14ac:dyDescent="0.35">
      <c r="A588">
        <f>VLOOKUP(Toss[[#This Row],[No用]],SetNo[[No.用]:[vlookup 用]],2,FALSE)</f>
        <v>205</v>
      </c>
      <c r="B588">
        <f>IF(ROW()=2,1,IF(A587&lt;&gt;Toss[[#This Row],[No]],1,B587+1))</f>
        <v>2</v>
      </c>
      <c r="C588" t="s">
        <v>108</v>
      </c>
      <c r="D588" s="1" t="s">
        <v>692</v>
      </c>
      <c r="E588" s="1" t="s">
        <v>90</v>
      </c>
      <c r="F588" s="1" t="s">
        <v>78</v>
      </c>
      <c r="G588" s="1" t="s">
        <v>689</v>
      </c>
      <c r="H588" t="s">
        <v>71</v>
      </c>
      <c r="I588">
        <v>1</v>
      </c>
      <c r="J588" t="s">
        <v>394</v>
      </c>
      <c r="K588" s="1" t="s">
        <v>167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ユニフォーム沼井和馬ICONIC</v>
      </c>
    </row>
    <row r="589" spans="1:20" x14ac:dyDescent="0.35">
      <c r="A589">
        <f>VLOOKUP(Toss[[#This Row],[No用]],SetNo[[No.用]:[vlookup 用]],2,FALSE)</f>
        <v>206</v>
      </c>
      <c r="B589">
        <f>IF(ROW()=2,1,IF(A588&lt;&gt;Toss[[#This Row],[No]],1,B588+1))</f>
        <v>1</v>
      </c>
      <c r="C589" t="s">
        <v>108</v>
      </c>
      <c r="D589" s="1" t="s">
        <v>858</v>
      </c>
      <c r="E589" s="1" t="s">
        <v>90</v>
      </c>
      <c r="F589" s="1" t="s">
        <v>78</v>
      </c>
      <c r="G589" s="1" t="s">
        <v>689</v>
      </c>
      <c r="H589" t="s">
        <v>71</v>
      </c>
      <c r="I589">
        <v>1</v>
      </c>
      <c r="J589" t="s">
        <v>394</v>
      </c>
      <c r="K589" s="1" t="s">
        <v>166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ユニフォーム潜尚保ICONIC</v>
      </c>
    </row>
    <row r="590" spans="1:20" x14ac:dyDescent="0.35">
      <c r="A590">
        <f>VLOOKUP(Toss[[#This Row],[No用]],SetNo[[No.用]:[vlookup 用]],2,FALSE)</f>
        <v>206</v>
      </c>
      <c r="B590">
        <f>IF(ROW()=2,1,IF(A589&lt;&gt;Toss[[#This Row],[No]],1,B589+1))</f>
        <v>2</v>
      </c>
      <c r="C590" t="s">
        <v>108</v>
      </c>
      <c r="D590" s="1" t="s">
        <v>858</v>
      </c>
      <c r="E590" s="1" t="s">
        <v>90</v>
      </c>
      <c r="F590" s="1" t="s">
        <v>78</v>
      </c>
      <c r="G590" s="1" t="s">
        <v>689</v>
      </c>
      <c r="H590" t="s">
        <v>71</v>
      </c>
      <c r="I590">
        <v>1</v>
      </c>
      <c r="J590" t="s">
        <v>394</v>
      </c>
      <c r="K590" s="1" t="s">
        <v>167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ユニフォーム潜尚保ICONIC</v>
      </c>
    </row>
    <row r="591" spans="1:20" x14ac:dyDescent="0.35">
      <c r="A591">
        <f>VLOOKUP(Toss[[#This Row],[No用]],SetNo[[No.用]:[vlookup 用]],2,FALSE)</f>
        <v>207</v>
      </c>
      <c r="B591">
        <f>IF(ROW()=2,1,IF(A590&lt;&gt;Toss[[#This Row],[No]],1,B590+1))</f>
        <v>1</v>
      </c>
      <c r="C591" s="1" t="s">
        <v>1165</v>
      </c>
      <c r="D591" s="1" t="s">
        <v>858</v>
      </c>
      <c r="E591" s="1" t="s">
        <v>77</v>
      </c>
      <c r="F591" s="1" t="s">
        <v>78</v>
      </c>
      <c r="G591" s="1" t="s">
        <v>689</v>
      </c>
      <c r="H591" s="1" t="s">
        <v>690</v>
      </c>
      <c r="I591">
        <v>1</v>
      </c>
      <c r="J591" t="s">
        <v>394</v>
      </c>
      <c r="K591" s="1" t="s">
        <v>166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バーガー潜尚保ICONIC</v>
      </c>
    </row>
    <row r="592" spans="1:20" x14ac:dyDescent="0.35">
      <c r="A592">
        <f>VLOOKUP(Toss[[#This Row],[No用]],SetNo[[No.用]:[vlookup 用]],2,FALSE)</f>
        <v>207</v>
      </c>
      <c r="B592">
        <f>IF(ROW()=2,1,IF(A591&lt;&gt;Toss[[#This Row],[No]],1,B591+1))</f>
        <v>2</v>
      </c>
      <c r="C592" s="1" t="s">
        <v>1165</v>
      </c>
      <c r="D592" s="1" t="s">
        <v>858</v>
      </c>
      <c r="E592" s="1" t="s">
        <v>77</v>
      </c>
      <c r="F592" s="1" t="s">
        <v>78</v>
      </c>
      <c r="G592" s="1" t="s">
        <v>689</v>
      </c>
      <c r="H592" s="1" t="s">
        <v>690</v>
      </c>
      <c r="I592">
        <v>1</v>
      </c>
      <c r="J592" t="s">
        <v>394</v>
      </c>
      <c r="K592" s="1" t="s">
        <v>167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バーガー潜尚保ICONIC</v>
      </c>
    </row>
    <row r="593" spans="1:20" x14ac:dyDescent="0.35">
      <c r="A593">
        <f>VLOOKUP(Toss[[#This Row],[No用]],SetNo[[No.用]:[vlookup 用]],2,FALSE)</f>
        <v>208</v>
      </c>
      <c r="B593">
        <f>IF(ROW()=2,1,IF(A592&lt;&gt;Toss[[#This Row],[No]],1,B592+1))</f>
        <v>1</v>
      </c>
      <c r="C593" t="s">
        <v>108</v>
      </c>
      <c r="D593" s="1" t="s">
        <v>860</v>
      </c>
      <c r="E593" s="1" t="s">
        <v>90</v>
      </c>
      <c r="F593" s="1" t="s">
        <v>78</v>
      </c>
      <c r="G593" s="1" t="s">
        <v>689</v>
      </c>
      <c r="H593" t="s">
        <v>71</v>
      </c>
      <c r="I593">
        <v>1</v>
      </c>
      <c r="J593" t="s">
        <v>394</v>
      </c>
      <c r="K593" s="1" t="s">
        <v>166</v>
      </c>
      <c r="L593" s="1" t="s">
        <v>162</v>
      </c>
      <c r="M593">
        <v>23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ユニフォーム高千穂恵也ICONIC</v>
      </c>
    </row>
    <row r="594" spans="1:20" x14ac:dyDescent="0.35">
      <c r="A594">
        <f>VLOOKUP(Toss[[#This Row],[No用]],SetNo[[No.用]:[vlookup 用]],2,FALSE)</f>
        <v>208</v>
      </c>
      <c r="B594">
        <f>IF(ROW()=2,1,IF(A593&lt;&gt;Toss[[#This Row],[No]],1,B593+1))</f>
        <v>2</v>
      </c>
      <c r="C594" t="s">
        <v>108</v>
      </c>
      <c r="D594" s="1" t="s">
        <v>860</v>
      </c>
      <c r="E594" s="1" t="s">
        <v>90</v>
      </c>
      <c r="F594" s="1" t="s">
        <v>78</v>
      </c>
      <c r="G594" s="1" t="s">
        <v>689</v>
      </c>
      <c r="H594" t="s">
        <v>71</v>
      </c>
      <c r="I594">
        <v>1</v>
      </c>
      <c r="J594" t="s">
        <v>394</v>
      </c>
      <c r="K594" s="1" t="s">
        <v>167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ユニフォーム高千穂恵也ICONIC</v>
      </c>
    </row>
    <row r="595" spans="1:20" x14ac:dyDescent="0.35">
      <c r="A595">
        <f>VLOOKUP(Toss[[#This Row],[No用]],SetNo[[No.用]:[vlookup 用]],2,FALSE)</f>
        <v>209</v>
      </c>
      <c r="B595">
        <f>IF(ROW()=2,1,IF(A594&lt;&gt;Toss[[#This Row],[No]],1,B594+1))</f>
        <v>1</v>
      </c>
      <c r="C595" t="s">
        <v>108</v>
      </c>
      <c r="D595" s="1" t="s">
        <v>862</v>
      </c>
      <c r="E595" s="1" t="s">
        <v>90</v>
      </c>
      <c r="F595" s="1" t="s">
        <v>82</v>
      </c>
      <c r="G595" s="1" t="s">
        <v>689</v>
      </c>
      <c r="H595" t="s">
        <v>71</v>
      </c>
      <c r="I595">
        <v>1</v>
      </c>
      <c r="J595" t="s">
        <v>394</v>
      </c>
      <c r="K595" s="1" t="s">
        <v>166</v>
      </c>
      <c r="L595" s="1" t="s">
        <v>162</v>
      </c>
      <c r="M595">
        <v>24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ユニフォーム広尾倖児ICONIC</v>
      </c>
    </row>
    <row r="596" spans="1:20" x14ac:dyDescent="0.35">
      <c r="A596">
        <f>VLOOKUP(Toss[[#This Row],[No用]],SetNo[[No.用]:[vlookup 用]],2,FALSE)</f>
        <v>209</v>
      </c>
      <c r="B596">
        <f>IF(ROW()=2,1,IF(A595&lt;&gt;Toss[[#This Row],[No]],1,B595+1))</f>
        <v>2</v>
      </c>
      <c r="C596" t="s">
        <v>108</v>
      </c>
      <c r="D596" s="1" t="s">
        <v>862</v>
      </c>
      <c r="E596" s="1" t="s">
        <v>90</v>
      </c>
      <c r="F596" s="1" t="s">
        <v>82</v>
      </c>
      <c r="G596" s="1" t="s">
        <v>689</v>
      </c>
      <c r="H596" t="s">
        <v>71</v>
      </c>
      <c r="I596">
        <v>1</v>
      </c>
      <c r="J596" t="s">
        <v>394</v>
      </c>
      <c r="K596" s="1" t="s">
        <v>167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ユニフォーム広尾倖児ICONIC</v>
      </c>
    </row>
    <row r="597" spans="1:20" x14ac:dyDescent="0.35">
      <c r="A597">
        <f>VLOOKUP(Toss[[#This Row],[No用]],SetNo[[No.用]:[vlookup 用]],2,FALSE)</f>
        <v>210</v>
      </c>
      <c r="B597">
        <f>IF(ROW()=2,1,IF(A596&lt;&gt;Toss[[#This Row],[No]],1,B596+1))</f>
        <v>1</v>
      </c>
      <c r="C597" t="s">
        <v>108</v>
      </c>
      <c r="D597" s="1" t="s">
        <v>864</v>
      </c>
      <c r="E597" s="1" t="s">
        <v>90</v>
      </c>
      <c r="F597" s="1" t="s">
        <v>74</v>
      </c>
      <c r="G597" s="1" t="s">
        <v>689</v>
      </c>
      <c r="H597" t="s">
        <v>71</v>
      </c>
      <c r="I597">
        <v>1</v>
      </c>
      <c r="J597" t="s">
        <v>394</v>
      </c>
      <c r="K597" s="1" t="s">
        <v>166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ユニフォーム先島伊澄ICONIC</v>
      </c>
    </row>
    <row r="598" spans="1:20" x14ac:dyDescent="0.35">
      <c r="A598">
        <f>VLOOKUP(Toss[[#This Row],[No用]],SetNo[[No.用]:[vlookup 用]],2,FALSE)</f>
        <v>210</v>
      </c>
      <c r="B598">
        <f>IF(ROW()=2,1,IF(A597&lt;&gt;Toss[[#This Row],[No]],1,B597+1))</f>
        <v>2</v>
      </c>
      <c r="C598" t="s">
        <v>108</v>
      </c>
      <c r="D598" s="1" t="s">
        <v>864</v>
      </c>
      <c r="E598" s="1" t="s">
        <v>90</v>
      </c>
      <c r="F598" s="1" t="s">
        <v>74</v>
      </c>
      <c r="G598" s="1" t="s">
        <v>689</v>
      </c>
      <c r="H598" t="s">
        <v>71</v>
      </c>
      <c r="I598">
        <v>1</v>
      </c>
      <c r="J598" t="s">
        <v>394</v>
      </c>
      <c r="K598" s="1" t="s">
        <v>169</v>
      </c>
      <c r="L598" s="1" t="s">
        <v>178</v>
      </c>
      <c r="M598">
        <v>34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ユニフォーム先島伊澄ICONIC</v>
      </c>
    </row>
    <row r="599" spans="1:20" x14ac:dyDescent="0.35">
      <c r="A599">
        <f>VLOOKUP(Toss[[#This Row],[No用]],SetNo[[No.用]:[vlookup 用]],2,FALSE)</f>
        <v>210</v>
      </c>
      <c r="B599">
        <f>IF(ROW()=2,1,IF(A598&lt;&gt;Toss[[#This Row],[No]],1,B598+1))</f>
        <v>3</v>
      </c>
      <c r="C599" t="s">
        <v>108</v>
      </c>
      <c r="D599" s="1" t="s">
        <v>864</v>
      </c>
      <c r="E599" s="1" t="s">
        <v>90</v>
      </c>
      <c r="F599" s="1" t="s">
        <v>74</v>
      </c>
      <c r="G599" s="1" t="s">
        <v>689</v>
      </c>
      <c r="H599" t="s">
        <v>71</v>
      </c>
      <c r="I599">
        <v>1</v>
      </c>
      <c r="J599" t="s">
        <v>394</v>
      </c>
      <c r="K599" s="1" t="s">
        <v>181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ユニフォーム先島伊澄ICONIC</v>
      </c>
    </row>
    <row r="600" spans="1:20" x14ac:dyDescent="0.35">
      <c r="A600">
        <f>VLOOKUP(Toss[[#This Row],[No用]],SetNo[[No.用]:[vlookup 用]],2,FALSE)</f>
        <v>210</v>
      </c>
      <c r="B600">
        <f>IF(ROW()=2,1,IF(A599&lt;&gt;Toss[[#This Row],[No]],1,B599+1))</f>
        <v>4</v>
      </c>
      <c r="C600" t="s">
        <v>108</v>
      </c>
      <c r="D600" s="1" t="s">
        <v>864</v>
      </c>
      <c r="E600" s="1" t="s">
        <v>90</v>
      </c>
      <c r="F600" s="1" t="s">
        <v>74</v>
      </c>
      <c r="G600" s="1" t="s">
        <v>689</v>
      </c>
      <c r="H600" t="s">
        <v>71</v>
      </c>
      <c r="I600">
        <v>1</v>
      </c>
      <c r="J600" t="s">
        <v>394</v>
      </c>
      <c r="K600" s="1" t="s">
        <v>233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ユニフォーム先島伊澄ICONIC</v>
      </c>
    </row>
    <row r="601" spans="1:20" x14ac:dyDescent="0.35">
      <c r="A601">
        <f>VLOOKUP(Toss[[#This Row],[No用]],SetNo[[No.用]:[vlookup 用]],2,FALSE)</f>
        <v>210</v>
      </c>
      <c r="B601">
        <f>IF(ROW()=2,1,IF(A600&lt;&gt;Toss[[#This Row],[No]],1,B600+1))</f>
        <v>5</v>
      </c>
      <c r="C601" t="s">
        <v>108</v>
      </c>
      <c r="D601" s="1" t="s">
        <v>864</v>
      </c>
      <c r="E601" s="1" t="s">
        <v>90</v>
      </c>
      <c r="F601" s="1" t="s">
        <v>74</v>
      </c>
      <c r="G601" s="1" t="s">
        <v>689</v>
      </c>
      <c r="H601" t="s">
        <v>71</v>
      </c>
      <c r="I601">
        <v>1</v>
      </c>
      <c r="J601" t="s">
        <v>394</v>
      </c>
      <c r="K601" s="1" t="s">
        <v>183</v>
      </c>
      <c r="L601" s="1" t="s">
        <v>225</v>
      </c>
      <c r="M601">
        <v>46</v>
      </c>
      <c r="N601">
        <v>0</v>
      </c>
      <c r="O601">
        <v>56</v>
      </c>
      <c r="P601">
        <v>0</v>
      </c>
      <c r="T601" t="str">
        <f>Toss[[#This Row],[服装]]&amp;Toss[[#This Row],[名前]]&amp;Toss[[#This Row],[レアリティ]]</f>
        <v>ユニフォーム先島伊澄ICONIC</v>
      </c>
    </row>
    <row r="602" spans="1:20" x14ac:dyDescent="0.35">
      <c r="A602">
        <f>VLOOKUP(Toss[[#This Row],[No用]],SetNo[[No.用]:[vlookup 用]],2,FALSE)</f>
        <v>211</v>
      </c>
      <c r="B602">
        <f>IF(ROW()=2,1,IF(A601&lt;&gt;Toss[[#This Row],[No]],1,B601+1))</f>
        <v>1</v>
      </c>
      <c r="C602" t="s">
        <v>108</v>
      </c>
      <c r="D602" s="1" t="s">
        <v>866</v>
      </c>
      <c r="E602" s="1" t="s">
        <v>90</v>
      </c>
      <c r="F602" s="1" t="s">
        <v>82</v>
      </c>
      <c r="G602" s="1" t="s">
        <v>689</v>
      </c>
      <c r="H602" t="s">
        <v>71</v>
      </c>
      <c r="I602">
        <v>1</v>
      </c>
      <c r="J602" t="s">
        <v>394</v>
      </c>
      <c r="K602" s="1" t="s">
        <v>166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ユニフォーム背黒晃彦ICONIC</v>
      </c>
    </row>
    <row r="603" spans="1:20" x14ac:dyDescent="0.35">
      <c r="A603">
        <f>VLOOKUP(Toss[[#This Row],[No用]],SetNo[[No.用]:[vlookup 用]],2,FALSE)</f>
        <v>211</v>
      </c>
      <c r="B603">
        <f>IF(ROW()=2,1,IF(A602&lt;&gt;Toss[[#This Row],[No]],1,B602+1))</f>
        <v>2</v>
      </c>
      <c r="C603" t="s">
        <v>108</v>
      </c>
      <c r="D603" s="1" t="s">
        <v>866</v>
      </c>
      <c r="E603" s="1" t="s">
        <v>90</v>
      </c>
      <c r="F603" s="1" t="s">
        <v>82</v>
      </c>
      <c r="G603" s="1" t="s">
        <v>689</v>
      </c>
      <c r="H603" t="s">
        <v>71</v>
      </c>
      <c r="I603">
        <v>1</v>
      </c>
      <c r="J603" t="s">
        <v>394</v>
      </c>
      <c r="K603" s="1" t="s">
        <v>167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ユニフォーム背黒晃彦ICONIC</v>
      </c>
    </row>
    <row r="604" spans="1:20" x14ac:dyDescent="0.35">
      <c r="A604">
        <f>VLOOKUP(Toss[[#This Row],[No用]],SetNo[[No.用]:[vlookup 用]],2,FALSE)</f>
        <v>212</v>
      </c>
      <c r="B604">
        <f>IF(ROW()=2,1,IF(A603&lt;&gt;Toss[[#This Row],[No]],1,B603+1))</f>
        <v>1</v>
      </c>
      <c r="C604" t="s">
        <v>108</v>
      </c>
      <c r="D604" s="1" t="s">
        <v>868</v>
      </c>
      <c r="E604" s="1" t="s">
        <v>90</v>
      </c>
      <c r="F604" s="1" t="s">
        <v>80</v>
      </c>
      <c r="G604" s="1" t="s">
        <v>689</v>
      </c>
      <c r="H604" t="s">
        <v>71</v>
      </c>
      <c r="I604">
        <v>1</v>
      </c>
      <c r="J604" t="s">
        <v>394</v>
      </c>
      <c r="K604" s="1" t="s">
        <v>166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49"/>
  <sheetViews>
    <sheetView topLeftCell="A658" workbookViewId="0">
      <selection activeCell="A677" sqref="A672:XFD677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168</v>
      </c>
      <c r="L122" t="s">
        <v>173</v>
      </c>
      <c r="M122">
        <v>31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169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170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23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5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51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6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183</v>
      </c>
      <c r="L127" t="s">
        <v>225</v>
      </c>
      <c r="M127">
        <v>41</v>
      </c>
      <c r="N127">
        <v>0</v>
      </c>
      <c r="O127">
        <v>0</v>
      </c>
      <c r="P127">
        <v>0</v>
      </c>
      <c r="R127" s="1" t="s">
        <v>931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7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s="1" t="s">
        <v>183</v>
      </c>
      <c r="L128" s="1" t="s">
        <v>225</v>
      </c>
      <c r="M128">
        <v>41</v>
      </c>
      <c r="N128">
        <v>0</v>
      </c>
      <c r="O128">
        <v>51</v>
      </c>
      <c r="P128">
        <v>0</v>
      </c>
      <c r="Q128" s="1" t="s">
        <v>930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8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172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168</v>
      </c>
      <c r="L130" t="s">
        <v>173</v>
      </c>
      <c r="M130">
        <v>29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169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170</v>
      </c>
      <c r="L132" t="s">
        <v>173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171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s="1" t="s">
        <v>183</v>
      </c>
      <c r="L134" s="1" t="s">
        <v>225</v>
      </c>
      <c r="M134">
        <v>39</v>
      </c>
      <c r="N134">
        <v>0</v>
      </c>
      <c r="O134">
        <v>49</v>
      </c>
      <c r="P134">
        <v>0</v>
      </c>
      <c r="Q134" s="1" t="s">
        <v>930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6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19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1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173</v>
      </c>
      <c r="M136">
        <v>31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2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23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3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4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171</v>
      </c>
      <c r="L139" s="1" t="s">
        <v>162</v>
      </c>
      <c r="M139">
        <v>23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34</v>
      </c>
      <c r="B140">
        <f>IF(ROW()=2,1,IF(A139&lt;&gt;Attack[[#This Row],[No]],1,B139+1))</f>
        <v>5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173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34</v>
      </c>
      <c r="B141">
        <f>IF(ROW()=2,1,IF(A140&lt;&gt;Attack[[#This Row],[No]],1,B140+1))</f>
        <v>6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284</v>
      </c>
      <c r="L141" s="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34</v>
      </c>
      <c r="B142">
        <f>IF(ROW()=2,1,IF(A141&lt;&gt;Attack[[#This Row],[No]],1,B141+1))</f>
        <v>7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183</v>
      </c>
      <c r="L142" s="1" t="s">
        <v>225</v>
      </c>
      <c r="M142">
        <v>41</v>
      </c>
      <c r="N142">
        <v>0</v>
      </c>
      <c r="O142">
        <v>51</v>
      </c>
      <c r="P142">
        <v>0</v>
      </c>
      <c r="Q142" s="1" t="s">
        <v>930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8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21</v>
      </c>
      <c r="N143">
        <v>0</v>
      </c>
      <c r="O143">
        <v>0</v>
      </c>
      <c r="P143" s="6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35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35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172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1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2</v>
      </c>
      <c r="C152" t="s">
        <v>206</v>
      </c>
      <c r="D152" t="s">
        <v>146</v>
      </c>
      <c r="E152" t="s">
        <v>24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ユニフォーム縁下力ICONIC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168</v>
      </c>
      <c r="L153" s="1" t="s">
        <v>178</v>
      </c>
      <c r="M153">
        <v>22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169</v>
      </c>
      <c r="L154" s="1" t="s">
        <v>178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171</v>
      </c>
      <c r="L155" s="1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386</v>
      </c>
      <c r="D156" t="s">
        <v>146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Attack[[#This Row],[服装]]&amp;Attack[[#This Row],[名前]]&amp;Attack[[#This Row],[レアリティ]]</f>
        <v>探偵縁下力ICONIC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s="1" t="s">
        <v>1071</v>
      </c>
      <c r="D158" s="1" t="s">
        <v>146</v>
      </c>
      <c r="E158" s="1" t="s">
        <v>73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169</v>
      </c>
      <c r="L158" s="1" t="s">
        <v>162</v>
      </c>
      <c r="M158">
        <v>22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RPG縁下力ICONIC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1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2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3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173</v>
      </c>
      <c r="M161">
        <v>28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4</v>
      </c>
      <c r="C162" t="s">
        <v>206</v>
      </c>
      <c r="D162" t="s">
        <v>147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ユニフォーム木下久志ICONIC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235</v>
      </c>
      <c r="K166" t="s">
        <v>171</v>
      </c>
      <c r="L166" t="s">
        <v>225</v>
      </c>
      <c r="M166">
        <v>39</v>
      </c>
      <c r="N166">
        <v>5</v>
      </c>
      <c r="O166">
        <v>49</v>
      </c>
      <c r="P166">
        <v>7</v>
      </c>
      <c r="T166" t="str">
        <f>Attack[[#This Row],[服装]]&amp;Attack[[#This Row],[名前]]&amp;Attack[[#This Row],[レアリティ]]</f>
        <v>ユニフォーム成田一仁ICONIC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ユニフォーム孤爪研磨ICONIC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178</v>
      </c>
      <c r="M173">
        <v>30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225</v>
      </c>
      <c r="M175">
        <v>42</v>
      </c>
      <c r="N175">
        <v>0</v>
      </c>
      <c r="O175">
        <v>52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169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172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168</v>
      </c>
      <c r="L180" t="s">
        <v>173</v>
      </c>
      <c r="M180">
        <v>31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s="1" t="s">
        <v>1001</v>
      </c>
      <c r="D183" s="1" t="s">
        <v>39</v>
      </c>
      <c r="E183" s="1" t="s">
        <v>73</v>
      </c>
      <c r="F183" s="1" t="s">
        <v>31</v>
      </c>
      <c r="G183" s="1" t="s">
        <v>27</v>
      </c>
      <c r="H183" s="1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1周年孤爪研磨ICONIC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271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171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5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271</v>
      </c>
      <c r="L19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5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6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178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271</v>
      </c>
      <c r="L197" t="s">
        <v>173</v>
      </c>
      <c r="M197">
        <v>37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47</v>
      </c>
      <c r="B199">
        <f>IF(ROW()=2,1,IF(A198&lt;&gt;Attack[[#This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172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44</v>
      </c>
      <c r="N200">
        <v>0</v>
      </c>
      <c r="O200">
        <v>54</v>
      </c>
      <c r="P200">
        <v>0</v>
      </c>
      <c r="Q200" s="1" t="s">
        <v>1018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1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168</v>
      </c>
      <c r="L201" s="1" t="s">
        <v>173</v>
      </c>
      <c r="M201">
        <v>33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2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169</v>
      </c>
      <c r="L202" s="1" t="s">
        <v>178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3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271</v>
      </c>
      <c r="L203" s="1" t="s">
        <v>173</v>
      </c>
      <c r="M203">
        <v>37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4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171</v>
      </c>
      <c r="L204" s="1" t="s">
        <v>178</v>
      </c>
      <c r="M204">
        <v>33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48</v>
      </c>
      <c r="B205">
        <f>IF(ROW()=2,1,IF(A204&lt;&gt;Attack[[#This Row],[No]],1,B204+1))</f>
        <v>5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172</v>
      </c>
      <c r="L205" s="1" t="s">
        <v>178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48</v>
      </c>
      <c r="B206">
        <f>IF(ROW()=2,1,IF(A205&lt;&gt;Attack[[#This Row],[No]],1,B205+1))</f>
        <v>6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183</v>
      </c>
      <c r="L206" s="1" t="s">
        <v>225</v>
      </c>
      <c r="M206">
        <v>44</v>
      </c>
      <c r="N206">
        <v>0</v>
      </c>
      <c r="O206">
        <v>54</v>
      </c>
      <c r="P206">
        <v>0</v>
      </c>
      <c r="Q206" s="1" t="s">
        <v>1018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7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1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2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3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ユニフォーム灰羽リエーフICONIC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1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2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s="1" t="s">
        <v>178</v>
      </c>
      <c r="M212">
        <v>33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3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172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4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46</v>
      </c>
      <c r="N214">
        <v>0</v>
      </c>
      <c r="O214">
        <v>56</v>
      </c>
      <c r="P214">
        <v>0</v>
      </c>
      <c r="T214" t="str">
        <f>Attack[[#This Row],[服装]]&amp;Attack[[#This Row],[名前]]&amp;Attack[[#This Row],[レアリティ]]</f>
        <v>探偵灰羽リエーフICONIC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170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172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183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6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170</v>
      </c>
      <c r="L220" s="1" t="s">
        <v>225</v>
      </c>
      <c r="M220">
        <v>46</v>
      </c>
      <c r="N220">
        <v>0</v>
      </c>
      <c r="O220">
        <v>56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t="s">
        <v>108</v>
      </c>
      <c r="D221" t="s">
        <v>42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s="1" t="s">
        <v>1001</v>
      </c>
      <c r="D222" s="1" t="s">
        <v>42</v>
      </c>
      <c r="E222" s="1" t="s">
        <v>77</v>
      </c>
      <c r="F222" s="1" t="s">
        <v>21</v>
      </c>
      <c r="G222" s="1" t="s">
        <v>27</v>
      </c>
      <c r="H222" s="1" t="s">
        <v>71</v>
      </c>
      <c r="I222">
        <v>1</v>
      </c>
      <c r="J222" t="s">
        <v>235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1周年夜久衛輔ICONIC</v>
      </c>
    </row>
    <row r="223" spans="1:20" x14ac:dyDescent="0.35">
      <c r="A223">
        <f>VLOOKUP(Attack[[#This Row],[No用]],SetNo[[No.用]:[vlookup 用]],2,FALSE)</f>
        <v>54</v>
      </c>
      <c r="B223">
        <f>IF(ROW()=2,1,IF(A222&lt;&gt;Attack[[#This Row],[No]],1,B222+1))</f>
        <v>1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54</v>
      </c>
      <c r="B224">
        <f>IF(ROW()=2,1,IF(A223&lt;&gt;Attack[[#This Row],[No]],1,B223+1))</f>
        <v>2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3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12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4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284</v>
      </c>
      <c r="L226" t="s">
        <v>173</v>
      </c>
      <c r="M226">
        <v>36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5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172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6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46</v>
      </c>
      <c r="N228">
        <v>0</v>
      </c>
      <c r="O228">
        <v>56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1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168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2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169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3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171</v>
      </c>
      <c r="L231" s="1" t="s">
        <v>178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4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284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5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172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6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271</v>
      </c>
      <c r="L234" s="1" t="s">
        <v>225</v>
      </c>
      <c r="M234">
        <v>46</v>
      </c>
      <c r="N234">
        <v>0</v>
      </c>
      <c r="O234">
        <v>56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3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170</v>
      </c>
      <c r="L237" t="s">
        <v>173</v>
      </c>
      <c r="M237">
        <v>38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4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172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ユニフォーム犬岡走ICONIC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5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168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169</v>
      </c>
      <c r="L245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271</v>
      </c>
      <c r="L246" t="s">
        <v>173</v>
      </c>
      <c r="M246">
        <v>36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172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5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183</v>
      </c>
      <c r="L248" t="s">
        <v>225</v>
      </c>
      <c r="M248">
        <v>45</v>
      </c>
      <c r="N248">
        <v>0</v>
      </c>
      <c r="O248">
        <v>55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168</v>
      </c>
      <c r="L249" s="1" t="s">
        <v>173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169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271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5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ユニフォーム芝山優生ICONIC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168</v>
      </c>
      <c r="L255" t="s">
        <v>173</v>
      </c>
      <c r="M255">
        <v>34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169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284</v>
      </c>
      <c r="L257" t="s">
        <v>173</v>
      </c>
      <c r="M257">
        <v>37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286</v>
      </c>
      <c r="L258" t="s">
        <v>173</v>
      </c>
      <c r="M258">
        <v>40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172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183</v>
      </c>
      <c r="L260" t="s">
        <v>225</v>
      </c>
      <c r="M260">
        <v>45</v>
      </c>
      <c r="N260">
        <v>0</v>
      </c>
      <c r="O260">
        <v>55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168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169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284</v>
      </c>
      <c r="L263" t="s">
        <v>162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286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172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183</v>
      </c>
      <c r="L266" t="s">
        <v>225</v>
      </c>
      <c r="M266">
        <v>45</v>
      </c>
      <c r="N266">
        <v>0</v>
      </c>
      <c r="O266">
        <v>55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168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169</v>
      </c>
      <c r="L268" t="s">
        <v>162</v>
      </c>
      <c r="M268">
        <v>28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170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172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ユニフォーム青根高伸ICONIC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5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183</v>
      </c>
      <c r="L275" t="s">
        <v>225</v>
      </c>
      <c r="M275">
        <v>43</v>
      </c>
      <c r="N275">
        <v>0</v>
      </c>
      <c r="O275">
        <v>53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1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168</v>
      </c>
      <c r="L276" t="s">
        <v>178</v>
      </c>
      <c r="M276">
        <v>31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2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169</v>
      </c>
      <c r="L277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3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170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4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172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5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183</v>
      </c>
      <c r="L280" t="s">
        <v>225</v>
      </c>
      <c r="M280">
        <v>51</v>
      </c>
      <c r="N280">
        <v>5</v>
      </c>
      <c r="O280">
        <v>61</v>
      </c>
      <c r="P280">
        <v>7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168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169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3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171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4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284</v>
      </c>
      <c r="L284" t="s">
        <v>173</v>
      </c>
      <c r="M284">
        <v>41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5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1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2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3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171</v>
      </c>
      <c r="L288" t="s">
        <v>162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4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284</v>
      </c>
      <c r="L289" t="s">
        <v>173</v>
      </c>
      <c r="M289">
        <v>41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5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171</v>
      </c>
      <c r="L293" t="s">
        <v>162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284</v>
      </c>
      <c r="L294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プール掃除二口堅治ICONIC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171</v>
      </c>
      <c r="L297" s="1" t="s">
        <v>178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284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69</v>
      </c>
      <c r="B299">
        <f>IF(ROW()=2,1,IF(A298&lt;&gt;Attack[[#This Row],[No]],1,B298+1))</f>
        <v>5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172</v>
      </c>
      <c r="L299" s="1" t="s">
        <v>178</v>
      </c>
      <c r="M299">
        <v>34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69</v>
      </c>
      <c r="B300">
        <f>IF(ROW()=2,1,IF(A299&lt;&gt;Attack[[#This Row],[No]],1,B299+1))</f>
        <v>6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7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284</v>
      </c>
      <c r="L301" s="1" t="s">
        <v>225</v>
      </c>
      <c r="M301">
        <v>42</v>
      </c>
      <c r="N301">
        <v>0</v>
      </c>
      <c r="O301">
        <v>52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1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2</v>
      </c>
      <c r="C303" t="s">
        <v>206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ユニフォーム黄金川貫至ICONIC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1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168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2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169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制服黄金川貫至ICONIC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1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2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3</v>
      </c>
      <c r="C308" s="1" t="s">
        <v>702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170</v>
      </c>
      <c r="L308" s="1" t="s">
        <v>178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職業体験黄金川貫至ICONIC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3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170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4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171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5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6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41</v>
      </c>
      <c r="N314">
        <v>0</v>
      </c>
      <c r="O314">
        <v>51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168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169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170</v>
      </c>
      <c r="L317" s="1" t="s">
        <v>173</v>
      </c>
      <c r="M317">
        <v>39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171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ユニフォーム女川太郎ICONIC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235</v>
      </c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ユニフォーム作並浩輔ICONIC</v>
      </c>
    </row>
    <row r="320" spans="1:20" x14ac:dyDescent="0.3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ユニフォーム吹上仁悟ICONIC</v>
      </c>
    </row>
    <row r="323" spans="1:20" x14ac:dyDescent="0.35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108</v>
      </c>
      <c r="D324" s="1" t="s">
        <v>1022</v>
      </c>
      <c r="E324" s="1" t="s">
        <v>23</v>
      </c>
      <c r="F324" s="1" t="s">
        <v>74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ユニフォーム茂庭要ICONIC</v>
      </c>
    </row>
    <row r="325" spans="1:20" x14ac:dyDescent="0.35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108</v>
      </c>
      <c r="D327" s="1" t="s">
        <v>1024</v>
      </c>
      <c r="E327" s="1" t="s">
        <v>23</v>
      </c>
      <c r="F327" s="1" t="s">
        <v>82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ユニフォーム鎌先靖志ICONIC</v>
      </c>
    </row>
    <row r="328" spans="1:20" x14ac:dyDescent="0.35">
      <c r="A328">
        <f>VLOOKUP(Attack[[#This Row],[No用]],SetNo[[No.用]:[vlookup 用]],2,FALSE)</f>
        <v>79</v>
      </c>
      <c r="B328">
        <f>IF(ROW()=2,1,IF(A327&lt;&gt;Attack[[#This Row],[No]],1,B327+1))</f>
        <v>1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2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3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271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4</v>
      </c>
      <c r="C331" s="1" t="s">
        <v>108</v>
      </c>
      <c r="D331" s="1" t="s">
        <v>1026</v>
      </c>
      <c r="E331" s="1" t="s">
        <v>23</v>
      </c>
      <c r="F331" s="1" t="s">
        <v>78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Attack[[#This Row],[服装]]&amp;Attack[[#This Row],[名前]]&amp;Attack[[#This Row],[レアリティ]]</f>
        <v>ユニフォーム笹谷武仁ICONIC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168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ユニフォーム及川徹ICONIC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s="1" t="s">
        <v>915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Xmas及川徹ICONIC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83</v>
      </c>
      <c r="B348">
        <f>IF(ROW()=2,1,IF(A347&lt;&gt;Attack[[#This Row],[No]],1,B347+1))</f>
        <v>5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6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171</v>
      </c>
      <c r="L349" s="1" t="s">
        <v>225</v>
      </c>
      <c r="M349">
        <v>51</v>
      </c>
      <c r="N349">
        <v>0</v>
      </c>
      <c r="O349">
        <v>61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1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2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3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4</v>
      </c>
      <c r="C353" s="1" t="s">
        <v>1122</v>
      </c>
      <c r="D353" s="1" t="s">
        <v>30</v>
      </c>
      <c r="E353" s="1" t="s">
        <v>90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路地裏及川徹ICONIC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47</v>
      </c>
      <c r="N358">
        <v>0</v>
      </c>
      <c r="O358">
        <v>57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39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86</v>
      </c>
      <c r="B363">
        <f>IF(ROW()=2,1,IF(A362&lt;&gt;Attack[[#This Row],[No]],1,B362+1))</f>
        <v>5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6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47</v>
      </c>
      <c r="N364">
        <v>0</v>
      </c>
      <c r="O364">
        <v>57</v>
      </c>
      <c r="P364">
        <v>0</v>
      </c>
      <c r="Q364" s="1" t="s">
        <v>389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1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2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3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271</v>
      </c>
      <c r="L367" s="1" t="s">
        <v>173</v>
      </c>
      <c r="M367">
        <v>39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4</v>
      </c>
      <c r="C368" s="1" t="s">
        <v>149</v>
      </c>
      <c r="D368" t="s">
        <v>32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制服岩泉一ICONIC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28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271</v>
      </c>
      <c r="L371" s="1" t="s">
        <v>178</v>
      </c>
      <c r="M371">
        <v>35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1049</v>
      </c>
      <c r="D372" s="1" t="s">
        <v>32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28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サバゲ岩泉一ICONIC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ユニフォーム金田一勇太郎ICONIC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178</v>
      </c>
      <c r="M377">
        <v>31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s="1" t="s">
        <v>959</v>
      </c>
      <c r="D380" t="s">
        <v>33</v>
      </c>
      <c r="E380" s="1" t="s">
        <v>77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雪遊び金田一勇太郎ICONIC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271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91</v>
      </c>
      <c r="B385">
        <f>IF(ROW()=2,1,IF(A384&lt;&gt;Attack[[#This Row],[No]],1,B384+1))</f>
        <v>5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Q385" s="1" t="s">
        <v>1042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6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1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178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2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3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4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92</v>
      </c>
      <c r="B391">
        <f>IF(ROW()=2,1,IF(A390&lt;&gt;Attack[[#This Row],[No]],1,B390+1))</f>
        <v>5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6</v>
      </c>
      <c r="C392" t="s">
        <v>206</v>
      </c>
      <c r="D392" t="s">
        <v>35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Attack[[#This Row],[服装]]&amp;Attack[[#This Row],[名前]]&amp;Attack[[#This Row],[レアリティ]]</f>
        <v>ユニフォーム国見英ICONIC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1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168</v>
      </c>
      <c r="L393" s="1" t="s">
        <v>178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2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169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3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170</v>
      </c>
      <c r="L395" s="1" t="s">
        <v>173</v>
      </c>
      <c r="M395">
        <v>32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93</v>
      </c>
      <c r="B396">
        <f>IF(ROW()=2,1,IF(A395&lt;&gt;Attack[[#This Row],[No]],1,B395+1))</f>
        <v>4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271</v>
      </c>
      <c r="L396" s="1" t="s">
        <v>178</v>
      </c>
      <c r="M396">
        <v>29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93</v>
      </c>
      <c r="B397">
        <f>IF(ROW()=2,1,IF(A396&lt;&gt;Attack[[#This Row],[No]],1,B396+1))</f>
        <v>5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93</v>
      </c>
      <c r="B398">
        <f>IF(ROW()=2,1,IF(A397&lt;&gt;Attack[[#This Row],[No]],1,B397+1))</f>
        <v>6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286</v>
      </c>
      <c r="L398" s="1" t="s">
        <v>178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93</v>
      </c>
      <c r="B399">
        <f>IF(ROW()=2,1,IF(A398&lt;&gt;Attack[[#This Row],[No]],1,B398+1))</f>
        <v>7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93</v>
      </c>
      <c r="B400">
        <f>IF(ROW()=2,1,IF(A399&lt;&gt;Attack[[#This Row],[No]],1,B399+1))</f>
        <v>8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9</v>
      </c>
      <c r="C401" s="1" t="s">
        <v>702</v>
      </c>
      <c r="D401" t="s">
        <v>35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職業体験国見英ICONIC</v>
      </c>
    </row>
    <row r="402" spans="1:20" x14ac:dyDescent="0.35">
      <c r="A402">
        <f>VLOOKUP(Attack[[#This Row],[No用]],SetNo[[No.用]:[vlookup 用]],2,FALSE)</f>
        <v>94</v>
      </c>
      <c r="B402">
        <f>IF(ROW()=2,1,IF(A401&lt;&gt;Attack[[#This Row],[No]],1,B401+1))</f>
        <v>1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94</v>
      </c>
      <c r="B403">
        <f>IF(ROW()=2,1,IF(A402&lt;&gt;Attack[[#This Row],[No]],1,B402+1))</f>
        <v>2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94</v>
      </c>
      <c r="B404">
        <f>IF(ROW()=2,1,IF(A403&lt;&gt;Attack[[#This Row],[No]],1,B403+1))</f>
        <v>3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4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171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5</v>
      </c>
      <c r="C406" s="1" t="s">
        <v>1122</v>
      </c>
      <c r="D406" s="1" t="s">
        <v>35</v>
      </c>
      <c r="E406" s="1" t="s">
        <v>77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30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路地裏国見英ICONIC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36</v>
      </c>
      <c r="E407" t="s">
        <v>23</v>
      </c>
      <c r="F407" t="s">
        <v>21</v>
      </c>
      <c r="G407" t="s">
        <v>20</v>
      </c>
      <c r="H407" t="s">
        <v>71</v>
      </c>
      <c r="I407">
        <v>1</v>
      </c>
      <c r="J407" t="s">
        <v>235</v>
      </c>
      <c r="K407" s="1"/>
      <c r="L407" s="1"/>
      <c r="M407">
        <v>0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ユニフォーム渡親治ICONIC</v>
      </c>
    </row>
    <row r="408" spans="1:20" x14ac:dyDescent="0.35">
      <c r="A408">
        <f>VLOOKUP(Attack[[#This Row],[No用]],SetNo[[No.用]:[vlookup 用]],2,FALSE)</f>
        <v>96</v>
      </c>
      <c r="B408">
        <f>IF(ROW()=2,1,IF(A407&lt;&gt;Attack[[#This Row],[No]],1,B407+1))</f>
        <v>1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96</v>
      </c>
      <c r="B409">
        <f>IF(ROW()=2,1,IF(A408&lt;&gt;Attack[[#This Row],[No]],1,B408+1))</f>
        <v>2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3</v>
      </c>
      <c r="C410" t="s">
        <v>206</v>
      </c>
      <c r="D410" t="s">
        <v>37</v>
      </c>
      <c r="E410" t="s">
        <v>23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ユニフォーム松川一静ICONIC</v>
      </c>
    </row>
    <row r="411" spans="1:20" x14ac:dyDescent="0.35">
      <c r="A411">
        <f>VLOOKUP(Attack[[#This Row],[No用]],SetNo[[No.用]:[vlookup 用]],2,FALSE)</f>
        <v>97</v>
      </c>
      <c r="B411">
        <f>IF(ROW()=2,1,IF(A410&lt;&gt;Attack[[#This Row],[No]],1,B410+1))</f>
        <v>1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97</v>
      </c>
      <c r="B412">
        <f>IF(ROW()=2,1,IF(A411&lt;&gt;Attack[[#This Row],[No]],1,B411+1))</f>
        <v>2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3</v>
      </c>
      <c r="C413" s="1" t="s">
        <v>908</v>
      </c>
      <c r="D413" t="s">
        <v>37</v>
      </c>
      <c r="E413" s="1" t="s">
        <v>90</v>
      </c>
      <c r="F413" t="s">
        <v>82</v>
      </c>
      <c r="G413" t="s">
        <v>20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アート松川一静ICONIC</v>
      </c>
    </row>
    <row r="414" spans="1:20" x14ac:dyDescent="0.35">
      <c r="A414">
        <f>VLOOKUP(Attack[[#This Row],[No用]],SetNo[[No.用]:[vlookup 用]],2,FALSE)</f>
        <v>98</v>
      </c>
      <c r="B414">
        <f>IF(ROW()=2,1,IF(A413&lt;&gt;Attack[[#This Row],[No]],1,B413+1))</f>
        <v>1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2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3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170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4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5</v>
      </c>
      <c r="C418" t="s">
        <v>206</v>
      </c>
      <c r="D418" t="s">
        <v>38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ユニフォーム花巻貴大ICONIC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171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s="1" t="s">
        <v>908</v>
      </c>
      <c r="D423" t="s">
        <v>38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アート花巻貴大ICONIC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s="1" t="s">
        <v>1165</v>
      </c>
      <c r="D424" s="1" t="s">
        <v>38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バーガー花巻貴大ICONIC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s="1" t="s">
        <v>1165</v>
      </c>
      <c r="D425" s="1" t="s">
        <v>38</v>
      </c>
      <c r="E425" s="1" t="s">
        <v>77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バーガー花巻貴大ICONIC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3</v>
      </c>
      <c r="C426" s="1" t="s">
        <v>1165</v>
      </c>
      <c r="D426" s="1" t="s">
        <v>38</v>
      </c>
      <c r="E426" s="1" t="s">
        <v>77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170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バーガー花巻貴大ICONIC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4</v>
      </c>
      <c r="C427" s="1" t="s">
        <v>1165</v>
      </c>
      <c r="D427" s="1" t="s">
        <v>38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271</v>
      </c>
      <c r="L427" s="1" t="s">
        <v>178</v>
      </c>
      <c r="M427">
        <v>36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バーガー花巻貴大ICONIC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5</v>
      </c>
      <c r="C428" s="1" t="s">
        <v>1165</v>
      </c>
      <c r="D428" s="1" t="s">
        <v>38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171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バーガー花巻貴大ICONIC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6</v>
      </c>
      <c r="C429" s="1" t="s">
        <v>1165</v>
      </c>
      <c r="D429" s="1" t="s">
        <v>38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バーガー花巻貴大ICONIC</v>
      </c>
    </row>
    <row r="430" spans="1:20" x14ac:dyDescent="0.35">
      <c r="A430">
        <f>VLOOKUP(Attack[[#This Row],[No用]],SetNo[[No.用]:[vlookup 用]],2,FALSE)</f>
        <v>100</v>
      </c>
      <c r="B430">
        <f>IF(ROW()=2,1,IF(A429&lt;&gt;Attack[[#This Row],[No]],1,B429+1))</f>
        <v>7</v>
      </c>
      <c r="C430" s="1" t="s">
        <v>1165</v>
      </c>
      <c r="D430" s="1" t="s">
        <v>38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171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バーガー花巻貴大ICONIC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1</v>
      </c>
      <c r="C431" s="1" t="s">
        <v>108</v>
      </c>
      <c r="D431" s="1" t="s">
        <v>1042</v>
      </c>
      <c r="E431" s="1" t="s">
        <v>73</v>
      </c>
      <c r="F431" s="1" t="s">
        <v>74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168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ユニフォーム矢巾秀ICONIC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2</v>
      </c>
      <c r="C432" s="1" t="s">
        <v>108</v>
      </c>
      <c r="D432" s="1" t="s">
        <v>1042</v>
      </c>
      <c r="E432" s="1" t="s">
        <v>73</v>
      </c>
      <c r="F432" s="1" t="s">
        <v>74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ユニフォーム矢巾秀ICONIC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t="s">
        <v>206</v>
      </c>
      <c r="D433" t="s">
        <v>55</v>
      </c>
      <c r="E433" t="s">
        <v>23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ユニフォーム駒木輝ICONIC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t="s">
        <v>206</v>
      </c>
      <c r="D434" t="s">
        <v>55</v>
      </c>
      <c r="E434" t="s">
        <v>23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29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ユニフォーム駒木輝ICONIC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t="s">
        <v>206</v>
      </c>
      <c r="D435" t="s">
        <v>55</v>
      </c>
      <c r="E435" t="s">
        <v>23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286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ユニフォーム駒木輝ICONIC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t="s">
        <v>206</v>
      </c>
      <c r="D436" t="s">
        <v>55</v>
      </c>
      <c r="E436" t="s">
        <v>23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ユニフォーム駒木輝ICONIC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t="s">
        <v>206</v>
      </c>
      <c r="D437" t="s">
        <v>55</v>
      </c>
      <c r="E437" t="s">
        <v>23</v>
      </c>
      <c r="F437" t="s">
        <v>25</v>
      </c>
      <c r="G437" t="s">
        <v>56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44</v>
      </c>
      <c r="N437">
        <v>0</v>
      </c>
      <c r="O437">
        <v>54</v>
      </c>
      <c r="P437">
        <v>0</v>
      </c>
      <c r="T437" t="str">
        <f>Attack[[#This Row],[服装]]&amp;Attack[[#This Row],[名前]]&amp;Attack[[#This Row],[レアリティ]]</f>
        <v>ユニフォーム駒木輝ICONIC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1</v>
      </c>
      <c r="C438" t="s">
        <v>206</v>
      </c>
      <c r="D438" t="s">
        <v>57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ユニフォーム茶屋和馬ICONIC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2</v>
      </c>
      <c r="C439" t="s">
        <v>206</v>
      </c>
      <c r="D439" t="s">
        <v>57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ユニフォーム茶屋和馬ICONIC</v>
      </c>
    </row>
    <row r="440" spans="1:20" x14ac:dyDescent="0.35">
      <c r="A440">
        <f>VLOOKUP(Attack[[#This Row],[No用]],SetNo[[No.用]:[vlookup 用]],2,FALSE)</f>
        <v>104</v>
      </c>
      <c r="B440">
        <f>IF(ROW()=2,1,IF(A439&lt;&gt;Attack[[#This Row],[No]],1,B439+1))</f>
        <v>1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ユニフォーム玉川弘樹ICONIC</v>
      </c>
    </row>
    <row r="441" spans="1:20" x14ac:dyDescent="0.35">
      <c r="A441">
        <f>VLOOKUP(Attack[[#This Row],[No用]],SetNo[[No.用]:[vlookup 用]],2,FALSE)</f>
        <v>104</v>
      </c>
      <c r="B441">
        <f>IF(ROW()=2,1,IF(A440&lt;&gt;Attack[[#This Row],[No]],1,B440+1))</f>
        <v>2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31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ユニフォーム玉川弘樹ICONIC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3</v>
      </c>
      <c r="C442" t="s">
        <v>206</v>
      </c>
      <c r="D442" t="s">
        <v>58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284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ユニフォーム玉川弘樹ICONIC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4</v>
      </c>
      <c r="C443" t="s">
        <v>206</v>
      </c>
      <c r="D443" t="s">
        <v>58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ユニフォーム玉川弘樹ICONIC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5</v>
      </c>
      <c r="C444" t="s">
        <v>206</v>
      </c>
      <c r="D444" t="s">
        <v>58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43</v>
      </c>
      <c r="N444">
        <v>0</v>
      </c>
      <c r="O444">
        <v>53</v>
      </c>
      <c r="P444">
        <v>0</v>
      </c>
      <c r="T444" t="str">
        <f>Attack[[#This Row],[服装]]&amp;Attack[[#This Row],[名前]]&amp;Attack[[#This Row],[レアリティ]]</f>
        <v>ユニフォーム玉川弘樹ICONIC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1</v>
      </c>
      <c r="C445" t="s">
        <v>206</v>
      </c>
      <c r="D445" t="s">
        <v>59</v>
      </c>
      <c r="E445" t="s">
        <v>24</v>
      </c>
      <c r="F445" t="s">
        <v>21</v>
      </c>
      <c r="G445" t="s">
        <v>56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ユニフォーム桜井大河ICONIC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1</v>
      </c>
      <c r="C446" t="s">
        <v>206</v>
      </c>
      <c r="D446" t="s">
        <v>60</v>
      </c>
      <c r="E446" t="s">
        <v>24</v>
      </c>
      <c r="F446" t="s">
        <v>31</v>
      </c>
      <c r="G446" t="s">
        <v>56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ユニフォーム芳賀良治ICONIC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2</v>
      </c>
      <c r="C447" t="s">
        <v>206</v>
      </c>
      <c r="D447" t="s">
        <v>60</v>
      </c>
      <c r="E447" t="s">
        <v>24</v>
      </c>
      <c r="F447" t="s">
        <v>31</v>
      </c>
      <c r="G447" t="s">
        <v>56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ユニフォーム芳賀良治ICONIC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1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168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ユニフォーム渋谷陸斗ICONIC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2</v>
      </c>
      <c r="C449" t="s">
        <v>206</v>
      </c>
      <c r="D449" t="s">
        <v>61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ユニフォーム渋谷陸斗ICONIC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3</v>
      </c>
      <c r="C450" t="s">
        <v>206</v>
      </c>
      <c r="D450" t="s">
        <v>61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ユニフォーム渋谷陸斗ICONIC</v>
      </c>
    </row>
    <row r="451" spans="1:20" x14ac:dyDescent="0.3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ユニフォーム池尻隼人ICONIC</v>
      </c>
    </row>
    <row r="452" spans="1:20" x14ac:dyDescent="0.3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ユニフォーム池尻隼人ICONIC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t="s">
        <v>206</v>
      </c>
      <c r="D453" t="s">
        <v>62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286</v>
      </c>
      <c r="L453" s="1" t="s">
        <v>173</v>
      </c>
      <c r="M453">
        <v>42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ユニフォーム池尻隼人ICONIC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t="s">
        <v>206</v>
      </c>
      <c r="D454" t="s">
        <v>62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ユニフォーム池尻隼人ICONIC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5</v>
      </c>
      <c r="C455" t="s">
        <v>206</v>
      </c>
      <c r="D455" t="s">
        <v>62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45</v>
      </c>
      <c r="N455">
        <v>0</v>
      </c>
      <c r="O455">
        <v>55</v>
      </c>
      <c r="P455">
        <v>0</v>
      </c>
      <c r="T455" t="str">
        <f>Attack[[#This Row],[服装]]&amp;Attack[[#This Row],[名前]]&amp;Attack[[#This Row],[レアリティ]]</f>
        <v>ユニフォーム池尻隼人ICONIC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ユニフォーム十和田良樹ICONIC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63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30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ユニフォーム十和田良樹ICONIC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63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284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ユニフォーム十和田良樹ICONIC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63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ユニフォーム十和田良樹ICONIC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63</v>
      </c>
      <c r="E460" t="s">
        <v>28</v>
      </c>
      <c r="F460" t="s">
        <v>25</v>
      </c>
      <c r="G460" t="s">
        <v>64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47</v>
      </c>
      <c r="N460">
        <v>0</v>
      </c>
      <c r="O460">
        <v>57</v>
      </c>
      <c r="P460">
        <v>0</v>
      </c>
      <c r="T460" t="str">
        <f>Attack[[#This Row],[服装]]&amp;Attack[[#This Row],[名前]]&amp;Attack[[#This Row],[レアリティ]]</f>
        <v>ユニフォーム十和田良樹ICONIC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ユニフォーム森岳歩ICONIC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ユニフォーム森岳歩ICONIC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65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ユニフォーム森岳歩ICONIC</v>
      </c>
    </row>
    <row r="464" spans="1:20" x14ac:dyDescent="0.35">
      <c r="A464">
        <f>VLOOKUP(Attack[[#This Row],[No用]],SetNo[[No.用]:[vlookup 用]],2,FALSE)</f>
        <v>111</v>
      </c>
      <c r="B464">
        <f>IF(ROW()=2,1,IF(A463&lt;&gt;Attack[[#This Row],[No]],1,B463+1))</f>
        <v>1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ユニフォーム唐松拓巳ICONIC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2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ユニフォーム唐松拓巳ICONIC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3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ユニフォーム唐松拓巳ICONIC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4</v>
      </c>
      <c r="C467" t="s">
        <v>206</v>
      </c>
      <c r="D467" t="s">
        <v>66</v>
      </c>
      <c r="E467" t="s">
        <v>24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ユニフォーム唐松拓巳ICONIC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5</v>
      </c>
      <c r="C468" t="s">
        <v>206</v>
      </c>
      <c r="D468" t="s">
        <v>66</v>
      </c>
      <c r="E468" t="s">
        <v>24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45</v>
      </c>
      <c r="N468">
        <v>0</v>
      </c>
      <c r="O468">
        <v>55</v>
      </c>
      <c r="P468">
        <v>0</v>
      </c>
      <c r="T468" t="str">
        <f>Attack[[#This Row],[服装]]&amp;Attack[[#This Row],[名前]]&amp;Attack[[#This Row],[レアリティ]]</f>
        <v>ユニフォーム唐松拓巳ICONIC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ユニフォーム田沢裕樹ICONIC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2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ユニフォーム田沢裕樹ICONIC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3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170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ユニフォーム田沢裕樹ICONIC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4</v>
      </c>
      <c r="C472" t="s">
        <v>206</v>
      </c>
      <c r="D472" t="s">
        <v>67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ユニフォーム田沢裕樹ICONIC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5</v>
      </c>
      <c r="C473" t="s">
        <v>206</v>
      </c>
      <c r="D473" t="s">
        <v>67</v>
      </c>
      <c r="E473" t="s">
        <v>28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171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ユニフォーム田沢裕樹ICONIC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1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ユニフォーム子安颯真ICONIC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2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ユニフォーム子安颯真ICONIC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3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ユニフォーム子安颯真ICONIC</v>
      </c>
    </row>
    <row r="477" spans="1:20" x14ac:dyDescent="0.35">
      <c r="A477">
        <f>VLOOKUP(Attack[[#This Row],[No用]],SetNo[[No.用]:[vlookup 用]],2,FALSE)</f>
        <v>114</v>
      </c>
      <c r="B477">
        <f>IF(ROW()=2,1,IF(A476&lt;&gt;Attack[[#This Row],[No]],1,B476+1))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235</v>
      </c>
      <c r="K477" s="1"/>
      <c r="L477" s="1"/>
      <c r="M477">
        <v>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ユニフォーム横手駿ICONIC</v>
      </c>
    </row>
    <row r="478" spans="1:20" x14ac:dyDescent="0.35">
      <c r="A478">
        <f>VLOOKUP(Attack[[#This Row],[No用]],SetNo[[No.用]:[vlookup 用]],2,FALSE)</f>
        <v>115</v>
      </c>
      <c r="B478">
        <f>IF(ROW()=2,1,IF(A477&lt;&gt;Attack[[#This Row],[No]],1,B477+1))</f>
        <v>1</v>
      </c>
      <c r="C478" t="s">
        <v>206</v>
      </c>
      <c r="D478" t="s">
        <v>70</v>
      </c>
      <c r="E478" t="s">
        <v>28</v>
      </c>
      <c r="F478" t="s">
        <v>31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ユニフォーム夏瀬伊吹ICONIC</v>
      </c>
    </row>
    <row r="479" spans="1:20" x14ac:dyDescent="0.35">
      <c r="A479">
        <f>VLOOKUP(Attack[[#This Row],[No用]],SetNo[[No.用]:[vlookup 用]],2,FALSE)</f>
        <v>115</v>
      </c>
      <c r="B479">
        <f>IF(ROW()=2,1,IF(A478&lt;&gt;Attack[[#This Row],[No]],1,B478+1))</f>
        <v>2</v>
      </c>
      <c r="C479" t="s">
        <v>206</v>
      </c>
      <c r="D479" t="s">
        <v>70</v>
      </c>
      <c r="E479" t="s">
        <v>28</v>
      </c>
      <c r="F479" t="s">
        <v>31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ユニフォーム夏瀬伊吹ICONIC</v>
      </c>
    </row>
    <row r="480" spans="1:20" x14ac:dyDescent="0.35">
      <c r="A480">
        <f>VLOOKUP(Attack[[#This Row],[No用]],SetNo[[No.用]:[vlookup 用]],2,FALSE)</f>
        <v>116</v>
      </c>
      <c r="B480">
        <f>IF(ROW()=2,1,IF(A479&lt;&gt;Attack[[#This Row],[No]],1,B479+1))</f>
        <v>1</v>
      </c>
      <c r="C480" s="1" t="s">
        <v>108</v>
      </c>
      <c r="D480" s="1" t="s">
        <v>1159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235</v>
      </c>
      <c r="K480" s="1" t="s">
        <v>168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ユニフォーム秋宮昇ICONIC</v>
      </c>
    </row>
    <row r="481" spans="1:20" x14ac:dyDescent="0.35">
      <c r="A481">
        <f>VLOOKUP(Attack[[#This Row],[No用]],SetNo[[No.用]:[vlookup 用]],2,FALSE)</f>
        <v>116</v>
      </c>
      <c r="B481">
        <f>IF(ROW()=2,1,IF(A480&lt;&gt;Attack[[#This Row],[No]],1,B480+1))</f>
        <v>2</v>
      </c>
      <c r="C481" s="1" t="s">
        <v>108</v>
      </c>
      <c r="D481" s="1" t="s">
        <v>1159</v>
      </c>
      <c r="E481" s="1" t="s">
        <v>28</v>
      </c>
      <c r="F481" s="1" t="s">
        <v>31</v>
      </c>
      <c r="G481" s="1" t="s">
        <v>64</v>
      </c>
      <c r="H481" s="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ユニフォーム秋宮昇ICONIC</v>
      </c>
    </row>
    <row r="482" spans="1:20" x14ac:dyDescent="0.35">
      <c r="A482">
        <f>VLOOKUP(Attack[[#This Row],[No用]],SetNo[[No.用]:[vlookup 用]],2,FALSE)</f>
        <v>117</v>
      </c>
      <c r="B482">
        <f>IF(ROW()=2,1,IF(A481&lt;&gt;Attack[[#This Row],[No]],1,B481+1))</f>
        <v>1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ユニフォーム古牧譲ICONIC</v>
      </c>
    </row>
    <row r="483" spans="1:20" x14ac:dyDescent="0.35">
      <c r="A483">
        <f>VLOOKUP(Attack[[#This Row],[No用]],SetNo[[No.用]:[vlookup 用]],2,FALSE)</f>
        <v>117</v>
      </c>
      <c r="B483">
        <f>IF(ROW()=2,1,IF(A482&lt;&gt;Attack[[#This Row],[No]],1,B482+1))</f>
        <v>2</v>
      </c>
      <c r="C483" t="s">
        <v>206</v>
      </c>
      <c r="D483" t="s">
        <v>72</v>
      </c>
      <c r="E483" t="s">
        <v>23</v>
      </c>
      <c r="F483" t="s">
        <v>31</v>
      </c>
      <c r="G483" t="s">
        <v>75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ユニフォーム古牧譲ICONIC</v>
      </c>
    </row>
    <row r="484" spans="1:20" x14ac:dyDescent="0.35">
      <c r="A484">
        <f>VLOOKUP(Attack[[#This Row],[No用]],SetNo[[No.用]:[vlookup 用]],2,FALSE)</f>
        <v>118</v>
      </c>
      <c r="B484">
        <f>IF(ROW()=2,1,IF(A483&lt;&gt;Attack[[#This Row],[No]],1,B483+1))</f>
        <v>1</v>
      </c>
      <c r="C484" s="1" t="s">
        <v>959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雪遊び古牧譲ICONIC</v>
      </c>
    </row>
    <row r="485" spans="1:20" x14ac:dyDescent="0.35">
      <c r="A485">
        <f>VLOOKUP(Attack[[#This Row],[No用]],SetNo[[No.用]:[vlookup 用]],2,FALSE)</f>
        <v>118</v>
      </c>
      <c r="B485">
        <f>IF(ROW()=2,1,IF(A484&lt;&gt;Attack[[#This Row],[No]],1,B484+1))</f>
        <v>2</v>
      </c>
      <c r="C485" s="1" t="s">
        <v>959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雪遊び古牧譲ICONIC</v>
      </c>
    </row>
    <row r="486" spans="1:20" x14ac:dyDescent="0.35">
      <c r="A486">
        <f>VLOOKUP(Attack[[#This Row],[No用]],SetNo[[No.用]:[vlookup 用]],2,FALSE)</f>
        <v>119</v>
      </c>
      <c r="B486">
        <f>IF(ROW()=2,1,IF(A485&lt;&gt;Attack[[#This Row],[No]],1,B485+1))</f>
        <v>1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ユニフォーム浅虫快人ICONIC</v>
      </c>
    </row>
    <row r="487" spans="1:20" x14ac:dyDescent="0.35">
      <c r="A487">
        <f>VLOOKUP(Attack[[#This Row],[No用]],SetNo[[No.用]:[vlookup 用]],2,FALSE)</f>
        <v>119</v>
      </c>
      <c r="B487">
        <f>IF(ROW()=2,1,IF(A486&lt;&gt;Attack[[#This Row],[No]],1,B486+1))</f>
        <v>2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ユニフォーム浅虫快人ICONIC</v>
      </c>
    </row>
    <row r="488" spans="1:20" x14ac:dyDescent="0.35">
      <c r="A488">
        <f>VLOOKUP(Attack[[#This Row],[No用]],SetNo[[No.用]:[vlookup 用]],2,FALSE)</f>
        <v>119</v>
      </c>
      <c r="B488">
        <f>IF(ROW()=2,1,IF(A487&lt;&gt;Attack[[#This Row],[No]],1,B487+1))</f>
        <v>3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170</v>
      </c>
      <c r="L488" s="1" t="s">
        <v>173</v>
      </c>
      <c r="M488">
        <v>43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ユニフォーム浅虫快人ICONIC</v>
      </c>
    </row>
    <row r="489" spans="1:20" x14ac:dyDescent="0.35">
      <c r="A489">
        <f>VLOOKUP(Attack[[#This Row],[No用]],SetNo[[No.用]:[vlookup 用]],2,FALSE)</f>
        <v>119</v>
      </c>
      <c r="B489">
        <f>IF(ROW()=2,1,IF(A488&lt;&gt;Attack[[#This Row],[No]],1,B488+1))</f>
        <v>4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ユニフォーム浅虫快人ICONIC</v>
      </c>
    </row>
    <row r="490" spans="1:20" x14ac:dyDescent="0.35">
      <c r="A490">
        <f>VLOOKUP(Attack[[#This Row],[No用]],SetNo[[No.用]:[vlookup 用]],2,FALSE)</f>
        <v>119</v>
      </c>
      <c r="B490">
        <f>IF(ROW()=2,1,IF(A489&lt;&gt;Attack[[#This Row],[No]],1,B489+1))</f>
        <v>5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183</v>
      </c>
      <c r="L490" s="1" t="s">
        <v>225</v>
      </c>
      <c r="M490">
        <v>46</v>
      </c>
      <c r="N490">
        <v>0</v>
      </c>
      <c r="O490">
        <v>56</v>
      </c>
      <c r="P490">
        <v>0</v>
      </c>
      <c r="T490" t="str">
        <f>Attack[[#This Row],[服装]]&amp;Attack[[#This Row],[名前]]&amp;Attack[[#This Row],[レアリティ]]</f>
        <v>ユニフォーム浅虫快人ICONIC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1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235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ユニフォーム南田大志ICONIC</v>
      </c>
    </row>
    <row r="492" spans="1:20" x14ac:dyDescent="0.35">
      <c r="A492">
        <f>VLOOKUP(Attack[[#This Row],[No用]],SetNo[[No.用]:[vlookup 用]],2,FALSE)</f>
        <v>121</v>
      </c>
      <c r="B492">
        <f>IF(ROW()=2,1,IF(A491&lt;&gt;Attack[[#This Row],[No]],1,B491+1))</f>
        <v>1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ユニフォーム湯川良明ICONIC</v>
      </c>
    </row>
    <row r="493" spans="1:20" x14ac:dyDescent="0.35">
      <c r="A493">
        <f>VLOOKUP(Attack[[#This Row],[No用]],SetNo[[No.用]:[vlookup 用]],2,FALSE)</f>
        <v>121</v>
      </c>
      <c r="B493">
        <f>IF(ROW()=2,1,IF(A492&lt;&gt;Attack[[#This Row],[No]],1,B492+1))</f>
        <v>2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ユニフォーム湯川良明ICONIC</v>
      </c>
    </row>
    <row r="494" spans="1:20" x14ac:dyDescent="0.35">
      <c r="A494">
        <f>VLOOKUP(Attack[[#This Row],[No用]],SetNo[[No.用]:[vlookup 用]],2,FALSE)</f>
        <v>121</v>
      </c>
      <c r="B494">
        <f>IF(ROW()=2,1,IF(A493&lt;&gt;Attack[[#This Row],[No]],1,B493+1))</f>
        <v>3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ユニフォーム湯川良明ICONIC</v>
      </c>
    </row>
    <row r="495" spans="1:20" x14ac:dyDescent="0.35">
      <c r="A495">
        <f>VLOOKUP(Attack[[#This Row],[No用]],SetNo[[No.用]:[vlookup 用]],2,FALSE)</f>
        <v>122</v>
      </c>
      <c r="B495">
        <f>IF(ROW()=2,1,IF(A494&lt;&gt;Attack[[#This Row],[No]],1,B494+1))</f>
        <v>1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ユニフォーム稲垣功ICONIC</v>
      </c>
    </row>
    <row r="496" spans="1:20" x14ac:dyDescent="0.35">
      <c r="A496">
        <f>VLOOKUP(Attack[[#This Row],[No用]],SetNo[[No.用]:[vlookup 用]],2,FALSE)</f>
        <v>122</v>
      </c>
      <c r="B496">
        <f>IF(ROW()=2,1,IF(A495&lt;&gt;Attack[[#This Row],[No]],1,B495+1))</f>
        <v>2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ユニフォーム稲垣功ICONIC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3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284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ユニフォーム稲垣功ICONIC</v>
      </c>
    </row>
    <row r="498" spans="1:20" x14ac:dyDescent="0.35">
      <c r="A498">
        <f>VLOOKUP(Attack[[#This Row],[No用]],SetNo[[No.用]:[vlookup 用]],2,FALSE)</f>
        <v>122</v>
      </c>
      <c r="B498">
        <f>IF(ROW()=2,1,IF(A497&lt;&gt;Attack[[#This Row],[No]],1,B497+1))</f>
        <v>4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ユニフォーム稲垣功ICONIC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5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44</v>
      </c>
      <c r="N499">
        <v>0</v>
      </c>
      <c r="O499">
        <v>54</v>
      </c>
      <c r="P499">
        <v>0</v>
      </c>
      <c r="T499" t="str">
        <f>Attack[[#This Row],[服装]]&amp;Attack[[#This Row],[名前]]&amp;Attack[[#This Row],[レアリティ]]</f>
        <v>ユニフォーム稲垣功ICONIC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1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ユニフォーム馬門英治ICONIC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2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ユニフォーム馬門英治ICONIC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3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ユニフォーム馬門英治ICONIC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1</v>
      </c>
      <c r="C503" t="s">
        <v>206</v>
      </c>
      <c r="D503" t="s">
        <v>88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ユニフォーム百沢雄大ICONIC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2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12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ユニフォーム百沢雄大ICONIC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3</v>
      </c>
      <c r="C505" t="s">
        <v>206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50</v>
      </c>
      <c r="N505">
        <v>5</v>
      </c>
      <c r="O505">
        <v>60</v>
      </c>
      <c r="P505">
        <v>8</v>
      </c>
      <c r="T505" t="str">
        <f>Attack[[#This Row],[服装]]&amp;Attack[[#This Row],[名前]]&amp;Attack[[#This Row],[レアリティ]]</f>
        <v>ユニフォーム百沢雄大ICONIC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1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職業体験百沢雄大ICONIC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2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235</v>
      </c>
      <c r="K507" s="1" t="s">
        <v>169</v>
      </c>
      <c r="L507" s="1" t="s">
        <v>162</v>
      </c>
      <c r="M507">
        <v>12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職業体験百沢雄大ICONIC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3</v>
      </c>
      <c r="C508" s="1" t="s">
        <v>702</v>
      </c>
      <c r="D508" t="s">
        <v>88</v>
      </c>
      <c r="E508" s="1" t="s">
        <v>90</v>
      </c>
      <c r="F508" t="s">
        <v>78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50</v>
      </c>
      <c r="N508">
        <v>5</v>
      </c>
      <c r="O508">
        <v>60</v>
      </c>
      <c r="P508">
        <v>8</v>
      </c>
      <c r="T508" t="str">
        <f>Attack[[#This Row],[服装]]&amp;Attack[[#This Row],[名前]]&amp;Attack[[#This Row],[レアリティ]]</f>
        <v>職業体験百沢雄大ICONIC</v>
      </c>
    </row>
    <row r="509" spans="1:20" x14ac:dyDescent="0.35">
      <c r="A509">
        <f>VLOOKUP(Attack[[#This Row],[No用]],SetNo[[No.用]:[vlookup 用]],2,FALSE)</f>
        <v>126</v>
      </c>
      <c r="B509">
        <f>IF(ROW()=2,1,IF(A508&lt;&gt;Attack[[#This Row],[No]],1,B508+1))</f>
        <v>1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ユニフォーム照島游児ICONIC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2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ユニフォーム照島游児ICONIC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3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171</v>
      </c>
      <c r="L511" s="1" t="s">
        <v>173</v>
      </c>
      <c r="M511">
        <v>38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ユニフォーム照島游児ICONIC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4</v>
      </c>
      <c r="C512" t="s">
        <v>108</v>
      </c>
      <c r="D512" t="s">
        <v>89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ユニフォーム照島游児ICONIC</v>
      </c>
    </row>
    <row r="513" spans="1:20" x14ac:dyDescent="0.35">
      <c r="A513">
        <f>VLOOKUP(Attack[[#This Row],[No用]],SetNo[[No.用]:[vlookup 用]],2,FALSE)</f>
        <v>127</v>
      </c>
      <c r="B513">
        <f>IF(ROW()=2,1,IF(A512&lt;&gt;Attack[[#This Row],[No]],1,B512+1))</f>
        <v>1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制服照島游児ICONIC</v>
      </c>
    </row>
    <row r="514" spans="1:20" x14ac:dyDescent="0.35">
      <c r="A514">
        <f>VLOOKUP(Attack[[#This Row],[No用]],SetNo[[No.用]:[vlookup 用]],2,FALSE)</f>
        <v>127</v>
      </c>
      <c r="B514">
        <f>IF(ROW()=2,1,IF(A513&lt;&gt;Attack[[#This Row],[No]],1,B513+1))</f>
        <v>2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169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制服照島游児ICONIC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3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171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制服照島游児ICONIC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4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制服照島游児ICONIC</v>
      </c>
    </row>
    <row r="517" spans="1:20" x14ac:dyDescent="0.35">
      <c r="A517">
        <f>VLOOKUP(Attack[[#This Row],[No用]],SetNo[[No.用]:[vlookup 用]],2,FALSE)</f>
        <v>128</v>
      </c>
      <c r="B517">
        <f>IF(ROW()=2,1,IF(A516&lt;&gt;Attack[[#This Row],[No]],1,B516+1))</f>
        <v>1</v>
      </c>
      <c r="C517" s="1" t="s">
        <v>959</v>
      </c>
      <c r="D517" t="s">
        <v>89</v>
      </c>
      <c r="E517" s="1" t="s">
        <v>960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雪遊び照島游児ICONIC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2</v>
      </c>
      <c r="C518" s="1" t="s">
        <v>959</v>
      </c>
      <c r="D518" t="s">
        <v>89</v>
      </c>
      <c r="E518" s="1" t="s">
        <v>960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169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雪遊び照島游児ICONIC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3</v>
      </c>
      <c r="C519" s="1" t="s">
        <v>959</v>
      </c>
      <c r="D519" t="s">
        <v>89</v>
      </c>
      <c r="E519" s="1" t="s">
        <v>960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271</v>
      </c>
      <c r="L519" s="1" t="s">
        <v>178</v>
      </c>
      <c r="M519">
        <v>41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4</v>
      </c>
      <c r="C520" s="1" t="s">
        <v>959</v>
      </c>
      <c r="D520" t="s">
        <v>89</v>
      </c>
      <c r="E520" s="1" t="s">
        <v>960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5</v>
      </c>
      <c r="C521" s="1" t="s">
        <v>959</v>
      </c>
      <c r="D521" t="s">
        <v>89</v>
      </c>
      <c r="E521" s="1" t="s">
        <v>960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雪遊び照島游児ICONIC</v>
      </c>
    </row>
    <row r="522" spans="1:20" x14ac:dyDescent="0.35">
      <c r="A522">
        <f>VLOOKUP(Attack[[#This Row],[No用]],SetNo[[No.用]:[vlookup 用]],2,FALSE)</f>
        <v>128</v>
      </c>
      <c r="B522">
        <f>IF(ROW()=2,1,IF(A521&lt;&gt;Attack[[#This Row],[No]],1,B521+1))</f>
        <v>6</v>
      </c>
      <c r="C522" s="1" t="s">
        <v>959</v>
      </c>
      <c r="D522" t="s">
        <v>89</v>
      </c>
      <c r="E522" s="1" t="s">
        <v>960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雪遊び照島游児ICONIC</v>
      </c>
    </row>
    <row r="523" spans="1:20" x14ac:dyDescent="0.35">
      <c r="A523">
        <f>VLOOKUP(Attack[[#This Row],[No用]],SetNo[[No.用]:[vlookup 用]],2,FALSE)</f>
        <v>128</v>
      </c>
      <c r="B523">
        <f>IF(ROW()=2,1,IF(A522&lt;&gt;Attack[[#This Row],[No]],1,B522+1))</f>
        <v>7</v>
      </c>
      <c r="C523" s="1" t="s">
        <v>959</v>
      </c>
      <c r="D523" t="s">
        <v>89</v>
      </c>
      <c r="E523" s="1" t="s">
        <v>960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271</v>
      </c>
      <c r="L523" s="1" t="s">
        <v>225</v>
      </c>
      <c r="M523">
        <v>51</v>
      </c>
      <c r="N523">
        <v>0</v>
      </c>
      <c r="O523">
        <v>61</v>
      </c>
      <c r="P523">
        <v>0</v>
      </c>
      <c r="T523" t="str">
        <f>Attack[[#This Row],[服装]]&amp;Attack[[#This Row],[名前]]&amp;Attack[[#This Row],[レアリティ]]</f>
        <v>雪遊び照島游児ICONIC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1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ユニフォーム母畑和馬ICONIC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2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ユニフォーム母畑和馬ICONIC</v>
      </c>
    </row>
    <row r="526" spans="1:20" x14ac:dyDescent="0.35">
      <c r="A526">
        <f>VLOOKUP(Attack[[#This Row],[No用]],SetNo[[No.用]:[vlookup 用]],2,FALSE)</f>
        <v>129</v>
      </c>
      <c r="B526">
        <f>IF(ROW()=2,1,IF(A525&lt;&gt;Attack[[#This Row],[No]],1,B525+1))</f>
        <v>3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ユニフォーム母畑和馬ICONIC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1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ユニフォーム二岐丈晴ICONIC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2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ユニフォーム二岐丈晴ICONIC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1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制服二岐丈晴ICONIC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2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制服二岐丈晴ICONIC</v>
      </c>
    </row>
    <row r="531" spans="1:20" x14ac:dyDescent="0.35">
      <c r="A531">
        <f>VLOOKUP(Attack[[#This Row],[No用]],SetNo[[No.用]:[vlookup 用]],2,FALSE)</f>
        <v>132</v>
      </c>
      <c r="B531">
        <f>IF(ROW()=2,1,IF(A530&lt;&gt;Attack[[#This Row],[No]],1,B530+1))</f>
        <v>1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ユニフォーム沼尻凛太郎ICONIC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2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ユニフォーム沼尻凛太郎ICONIC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3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171</v>
      </c>
      <c r="L533" s="1" t="s">
        <v>173</v>
      </c>
      <c r="M533">
        <v>43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ユニフォーム沼尻凛太郎ICONIC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4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ユニフォーム沼尻凛太郎ICONIC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5</v>
      </c>
      <c r="C535" t="s">
        <v>108</v>
      </c>
      <c r="D535" t="s">
        <v>99</v>
      </c>
      <c r="E535" t="s">
        <v>73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ユニフォーム沼尻凛太郎ICONIC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ユニフォーム飯坂信義ICONIC</v>
      </c>
    </row>
    <row r="537" spans="1:20" x14ac:dyDescent="0.35">
      <c r="A537">
        <f>VLOOKUP(Attack[[#This Row],[No用]],SetNo[[No.用]:[vlookup 用]],2,FALSE)</f>
        <v>133</v>
      </c>
      <c r="B537">
        <f>IF(ROW()=2,1,IF(A536&lt;&gt;Attack[[#This Row],[No]],1,B536+1))</f>
        <v>2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ユニフォーム飯坂信義ICONIC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3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ユニフォーム飯坂信義ICONIC</v>
      </c>
    </row>
    <row r="539" spans="1:20" x14ac:dyDescent="0.35">
      <c r="A539">
        <f>VLOOKUP(Attack[[#This Row],[No用]],SetNo[[No.用]:[vlookup 用]],2,FALSE)</f>
        <v>134</v>
      </c>
      <c r="B539">
        <f>IF(ROW()=2,1,IF(A538&lt;&gt;Attack[[#This Row],[No]],1,B538+1))</f>
        <v>1</v>
      </c>
      <c r="C539" t="s">
        <v>108</v>
      </c>
      <c r="D539" t="s">
        <v>95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ユニフォーム東山勝道ICONIC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2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34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ユニフォーム東山勝道ICONIC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3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ユニフォーム東山勝道ICONIC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4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14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ユニフォーム東山勝道ICONIC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5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171</v>
      </c>
      <c r="L543" s="1" t="s">
        <v>225</v>
      </c>
      <c r="M543">
        <v>38</v>
      </c>
      <c r="N543">
        <v>0</v>
      </c>
      <c r="O543">
        <v>48</v>
      </c>
      <c r="P543">
        <v>0</v>
      </c>
      <c r="T543" t="str">
        <f>Attack[[#This Row],[服装]]&amp;Attack[[#This Row],[名前]]&amp;Attack[[#This Row],[レアリティ]]</f>
        <v>ユニフォーム東山勝道ICONIC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1</v>
      </c>
      <c r="C544" t="s">
        <v>108</v>
      </c>
      <c r="D544" t="s">
        <v>96</v>
      </c>
      <c r="E544" t="s">
        <v>90</v>
      </c>
      <c r="F544" t="s">
        <v>80</v>
      </c>
      <c r="G544" t="s">
        <v>91</v>
      </c>
      <c r="H544" t="s">
        <v>71</v>
      </c>
      <c r="I544">
        <v>1</v>
      </c>
      <c r="J544" t="s">
        <v>235</v>
      </c>
      <c r="M544">
        <v>0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ユニフォーム土湯新ICONIC</v>
      </c>
    </row>
    <row r="545" spans="1:20" x14ac:dyDescent="0.35">
      <c r="A545">
        <f>VLOOKUP(Attack[[#This Row],[No用]],SetNo[[No.用]:[vlookup 用]],2,FALSE)</f>
        <v>136</v>
      </c>
      <c r="B545">
        <f>IF(ROW()=2,1,IF(A544&lt;&gt;Attack[[#This Row],[No]],1,B544+1))</f>
        <v>1</v>
      </c>
      <c r="C545" t="s">
        <v>206</v>
      </c>
      <c r="D545" t="s">
        <v>569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ユニフォーム中島猛ICONIC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2</v>
      </c>
      <c r="C546" t="s">
        <v>206</v>
      </c>
      <c r="D546" t="s">
        <v>569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235</v>
      </c>
      <c r="K546" s="1" t="s">
        <v>169</v>
      </c>
      <c r="L546" s="1" t="s">
        <v>173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ユニフォーム中島猛ICONIC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3</v>
      </c>
      <c r="C547" t="s">
        <v>206</v>
      </c>
      <c r="D547" t="s">
        <v>569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ユニフォーム中島猛ICONIC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4</v>
      </c>
      <c r="C548" t="s">
        <v>206</v>
      </c>
      <c r="D548" t="s">
        <v>569</v>
      </c>
      <c r="E548" t="s">
        <v>28</v>
      </c>
      <c r="F548" t="s">
        <v>25</v>
      </c>
      <c r="G548" t="s">
        <v>156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ユニフォーム中島猛ICONIC</v>
      </c>
    </row>
    <row r="549" spans="1:20" x14ac:dyDescent="0.35">
      <c r="A549">
        <f>VLOOKUP(Attack[[#This Row],[No用]],SetNo[[No.用]:[vlookup 用]],2,FALSE)</f>
        <v>137</v>
      </c>
      <c r="B549">
        <f>IF(ROW()=2,1,IF(A548&lt;&gt;Attack[[#This Row],[No]],1,B548+1))</f>
        <v>1</v>
      </c>
      <c r="C549" t="s">
        <v>206</v>
      </c>
      <c r="D549" t="s">
        <v>572</v>
      </c>
      <c r="E549" t="s">
        <v>24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ユニフォーム白石優希ICONIC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2</v>
      </c>
      <c r="C550" t="s">
        <v>206</v>
      </c>
      <c r="D550" t="s">
        <v>572</v>
      </c>
      <c r="E550" t="s">
        <v>24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ユニフォーム白石優希ICONIC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3</v>
      </c>
      <c r="C551" t="s">
        <v>206</v>
      </c>
      <c r="D551" t="s">
        <v>572</v>
      </c>
      <c r="E551" t="s">
        <v>24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171</v>
      </c>
      <c r="L551" s="1" t="s">
        <v>173</v>
      </c>
      <c r="M551">
        <v>41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ユニフォーム白石優希ICONIC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4</v>
      </c>
      <c r="C552" t="s">
        <v>206</v>
      </c>
      <c r="D552" t="s">
        <v>572</v>
      </c>
      <c r="E552" t="s">
        <v>24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12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ユニフォーム白石優希ICONIC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5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42</v>
      </c>
      <c r="N553">
        <v>0</v>
      </c>
      <c r="O553">
        <v>52</v>
      </c>
      <c r="P553">
        <v>0</v>
      </c>
      <c r="T553" t="str">
        <f>Attack[[#This Row],[服装]]&amp;Attack[[#This Row],[名前]]&amp;Attack[[#This Row],[レアリティ]]</f>
        <v>ユニフォーム白石優希ICONIC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575</v>
      </c>
      <c r="E554" t="s">
        <v>28</v>
      </c>
      <c r="F554" t="s">
        <v>31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ユニフォーム花山一雅ICONIC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575</v>
      </c>
      <c r="E555" t="s">
        <v>28</v>
      </c>
      <c r="F555" t="s">
        <v>31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ユニフォーム花山一雅ICONIC</v>
      </c>
    </row>
    <row r="556" spans="1:20" x14ac:dyDescent="0.35">
      <c r="A556">
        <f>VLOOKUP(Attack[[#This Row],[No用]],SetNo[[No.用]:[vlookup 用]],2,FALSE)</f>
        <v>139</v>
      </c>
      <c r="B556">
        <f>IF(ROW()=2,1,IF(A555&lt;&gt;Attack[[#This Row],[No]],1,B555+1))</f>
        <v>1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ユニフォーム鳴子哲平ICONIC</v>
      </c>
    </row>
    <row r="557" spans="1:20" x14ac:dyDescent="0.35">
      <c r="A557">
        <f>VLOOKUP(Attack[[#This Row],[No用]],SetNo[[No.用]:[vlookup 用]],2,FALSE)</f>
        <v>139</v>
      </c>
      <c r="B557">
        <f>IF(ROW()=2,1,IF(A556&lt;&gt;Attack[[#This Row],[No]],1,B556+1))</f>
        <v>2</v>
      </c>
      <c r="C557" t="s">
        <v>206</v>
      </c>
      <c r="D557" t="s">
        <v>578</v>
      </c>
      <c r="E557" t="s">
        <v>28</v>
      </c>
      <c r="F557" t="s">
        <v>26</v>
      </c>
      <c r="G557" t="s">
        <v>156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ユニフォーム鳴子哲平ICONIC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3</v>
      </c>
      <c r="C558" t="s">
        <v>206</v>
      </c>
      <c r="D558" t="s">
        <v>578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ユニフォーム鳴子哲平ICONIC</v>
      </c>
    </row>
    <row r="559" spans="1:20" x14ac:dyDescent="0.35">
      <c r="A559">
        <f>VLOOKUP(Attack[[#This Row],[No用]],SetNo[[No.用]:[vlookup 用]],2,FALSE)</f>
        <v>140</v>
      </c>
      <c r="B559">
        <f>IF(ROW()=2,1,IF(A558&lt;&gt;Attack[[#This Row],[No]],1,B558+1))</f>
        <v>1</v>
      </c>
      <c r="C559" t="s">
        <v>206</v>
      </c>
      <c r="D559" t="s">
        <v>581</v>
      </c>
      <c r="E559" t="s">
        <v>28</v>
      </c>
      <c r="F559" t="s">
        <v>21</v>
      </c>
      <c r="G559" t="s">
        <v>156</v>
      </c>
      <c r="H559" t="s">
        <v>71</v>
      </c>
      <c r="I559">
        <v>1</v>
      </c>
      <c r="J559" t="s">
        <v>235</v>
      </c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ユニフォーム秋保和光ICONIC</v>
      </c>
    </row>
    <row r="560" spans="1:20" x14ac:dyDescent="0.35">
      <c r="A560">
        <f>VLOOKUP(Attack[[#This Row],[No用]],SetNo[[No.用]:[vlookup 用]],2,FALSE)</f>
        <v>141</v>
      </c>
      <c r="B560">
        <f>IF(ROW()=2,1,IF(A559&lt;&gt;Attack[[#This Row],[No]],1,B559+1))</f>
        <v>1</v>
      </c>
      <c r="C560" t="s">
        <v>206</v>
      </c>
      <c r="D560" t="s">
        <v>584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ユニフォーム松島剛ICONIC</v>
      </c>
    </row>
    <row r="561" spans="1:20" x14ac:dyDescent="0.35">
      <c r="A561">
        <f>VLOOKUP(Attack[[#This Row],[No用]],SetNo[[No.用]:[vlookup 用]],2,FALSE)</f>
        <v>141</v>
      </c>
      <c r="B561">
        <f>IF(ROW()=2,1,IF(A560&lt;&gt;Attack[[#This Row],[No]],1,B560+1))</f>
        <v>2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ユニフォーム松島剛ICONIC</v>
      </c>
    </row>
    <row r="562" spans="1:20" x14ac:dyDescent="0.35">
      <c r="A562">
        <f>VLOOKUP(Attack[[#This Row],[No用]],SetNo[[No.用]:[vlookup 用]],2,FALSE)</f>
        <v>141</v>
      </c>
      <c r="B562">
        <f>IF(ROW()=2,1,IF(A561&lt;&gt;Attack[[#This Row],[No]],1,B561+1))</f>
        <v>3</v>
      </c>
      <c r="C562" t="s">
        <v>206</v>
      </c>
      <c r="D562" t="s">
        <v>584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ユニフォーム松島剛ICONIC</v>
      </c>
    </row>
    <row r="563" spans="1:20" x14ac:dyDescent="0.35">
      <c r="A563">
        <f>VLOOKUP(Attack[[#This Row],[No用]],SetNo[[No.用]:[vlookup 用]],2,FALSE)</f>
        <v>142</v>
      </c>
      <c r="B563">
        <f>IF(ROW()=2,1,IF(A562&lt;&gt;Attack[[#This Row],[No]],1,B562+1))</f>
        <v>1</v>
      </c>
      <c r="C563" t="s">
        <v>206</v>
      </c>
      <c r="D563" t="s">
        <v>587</v>
      </c>
      <c r="E563" t="s">
        <v>28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ユニフォーム川渡瞬己ICONIC</v>
      </c>
    </row>
    <row r="564" spans="1:20" x14ac:dyDescent="0.35">
      <c r="A564">
        <f>VLOOKUP(Attack[[#This Row],[No用]],SetNo[[No.用]:[vlookup 用]],2,FALSE)</f>
        <v>142</v>
      </c>
      <c r="B564">
        <f>IF(ROW()=2,1,IF(A563&lt;&gt;Attack[[#This Row],[No]],1,B563+1))</f>
        <v>2</v>
      </c>
      <c r="C564" t="s">
        <v>206</v>
      </c>
      <c r="D564" t="s">
        <v>587</v>
      </c>
      <c r="E564" t="s">
        <v>28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ユニフォーム川渡瞬己ICONIC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3</v>
      </c>
      <c r="C565" t="s">
        <v>206</v>
      </c>
      <c r="D565" t="s">
        <v>587</v>
      </c>
      <c r="E565" t="s">
        <v>28</v>
      </c>
      <c r="F565" t="s">
        <v>25</v>
      </c>
      <c r="G565" t="s">
        <v>156</v>
      </c>
      <c r="H565" t="s">
        <v>71</v>
      </c>
      <c r="I565">
        <v>1</v>
      </c>
      <c r="J565" t="s">
        <v>235</v>
      </c>
      <c r="K565" s="1" t="s">
        <v>284</v>
      </c>
      <c r="L565" s="1" t="s">
        <v>173</v>
      </c>
      <c r="M565">
        <v>43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ユニフォーム川渡瞬己ICONIC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4</v>
      </c>
      <c r="C566" t="s">
        <v>206</v>
      </c>
      <c r="D566" t="s">
        <v>587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ユニフォーム川渡瞬己ICONIC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5</v>
      </c>
      <c r="C567" t="s">
        <v>206</v>
      </c>
      <c r="D567" t="s">
        <v>587</v>
      </c>
      <c r="E567" t="s">
        <v>28</v>
      </c>
      <c r="F567" t="s">
        <v>25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225</v>
      </c>
      <c r="M567">
        <v>47</v>
      </c>
      <c r="N567">
        <v>0</v>
      </c>
      <c r="O567">
        <v>57</v>
      </c>
      <c r="P567">
        <v>0</v>
      </c>
      <c r="T567" t="str">
        <f>Attack[[#This Row],[服装]]&amp;Attack[[#This Row],[名前]]&amp;Attack[[#This Row],[レアリティ]]</f>
        <v>ユニフォーム川渡瞬己ICONIC</v>
      </c>
    </row>
    <row r="568" spans="1:20" x14ac:dyDescent="0.35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109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ユニフォーム牛島若利ICONIC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109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ユニフォーム牛島若利ICONIC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3</v>
      </c>
      <c r="C570" t="s">
        <v>108</v>
      </c>
      <c r="D570" t="s">
        <v>109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271</v>
      </c>
      <c r="L570" s="1" t="s">
        <v>173</v>
      </c>
      <c r="M570">
        <v>45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ユニフォーム牛島若利ICONIC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4</v>
      </c>
      <c r="C571" t="s">
        <v>108</v>
      </c>
      <c r="D571" t="s">
        <v>109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ユニフォーム牛島若利ICONIC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5</v>
      </c>
      <c r="C572" t="s">
        <v>108</v>
      </c>
      <c r="D572" t="s">
        <v>109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51</v>
      </c>
      <c r="N572">
        <v>0</v>
      </c>
      <c r="O572">
        <v>61</v>
      </c>
      <c r="P572">
        <v>0</v>
      </c>
      <c r="T572" t="str">
        <f>Attack[[#This Row],[服装]]&amp;Attack[[#This Row],[名前]]&amp;Attack[[#This Row],[レアリティ]]</f>
        <v>ユニフォーム牛島若利ICONIC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1</v>
      </c>
      <c r="C573" t="s">
        <v>116</v>
      </c>
      <c r="D573" t="s">
        <v>109</v>
      </c>
      <c r="E573" t="s">
        <v>90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水着牛島若利ICONIC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2</v>
      </c>
      <c r="C574" t="s">
        <v>116</v>
      </c>
      <c r="D574" t="s">
        <v>109</v>
      </c>
      <c r="E574" t="s">
        <v>90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水着牛島若利ICONIC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3</v>
      </c>
      <c r="C575" t="s">
        <v>116</v>
      </c>
      <c r="D575" t="s">
        <v>109</v>
      </c>
      <c r="E575" t="s">
        <v>90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45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水着牛島若利ICONIC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4</v>
      </c>
      <c r="C576" t="s">
        <v>116</v>
      </c>
      <c r="D576" t="s">
        <v>109</v>
      </c>
      <c r="E576" t="s">
        <v>90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水着牛島若利ICONIC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s="1" t="s">
        <v>935</v>
      </c>
      <c r="D577" t="s">
        <v>109</v>
      </c>
      <c r="E577" s="1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新年牛島若利ICONIC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s="1" t="s">
        <v>935</v>
      </c>
      <c r="D578" t="s">
        <v>109</v>
      </c>
      <c r="E578" s="1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新年牛島若利ICONIC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s="1" t="s">
        <v>935</v>
      </c>
      <c r="D579" t="s">
        <v>109</v>
      </c>
      <c r="E579" s="1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新年牛島若利ICONIC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s="1" t="s">
        <v>935</v>
      </c>
      <c r="D580" t="s">
        <v>109</v>
      </c>
      <c r="E580" s="1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284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新年牛島若利ICONIC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s="1" t="s">
        <v>935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172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新年牛島若利ICONIC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6</v>
      </c>
      <c r="C582" s="1" t="s">
        <v>935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Attack[[#This Row],[服装]]&amp;Attack[[#This Row],[名前]]&amp;Attack[[#This Row],[レアリティ]]</f>
        <v>新年牛島若利ICONIC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7</v>
      </c>
      <c r="C583" s="1" t="s">
        <v>935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271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新年牛島若利ICONIC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1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ユニフォーム天童覚ICONIC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2</v>
      </c>
      <c r="C585" t="s">
        <v>108</v>
      </c>
      <c r="D585" t="s">
        <v>110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32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ユニフォーム天童覚ICONIC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t="s">
        <v>116</v>
      </c>
      <c r="D586" t="s">
        <v>110</v>
      </c>
      <c r="E586" t="s">
        <v>90</v>
      </c>
      <c r="F586" t="s">
        <v>82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水着天童覚ICONIC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t="s">
        <v>116</v>
      </c>
      <c r="D587" t="s">
        <v>110</v>
      </c>
      <c r="E587" t="s">
        <v>90</v>
      </c>
      <c r="F587" t="s">
        <v>82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水着天童覚ICONIC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235</v>
      </c>
      <c r="K588" s="1" t="s">
        <v>170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水着天童覚ICONIC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235</v>
      </c>
      <c r="K589" s="1" t="s">
        <v>286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水着天童覚ICONIC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t="s">
        <v>116</v>
      </c>
      <c r="D590" t="s">
        <v>110</v>
      </c>
      <c r="E590" t="s">
        <v>90</v>
      </c>
      <c r="F590" t="s">
        <v>82</v>
      </c>
      <c r="G590" t="s">
        <v>118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48</v>
      </c>
      <c r="N590">
        <v>0</v>
      </c>
      <c r="O590">
        <v>58</v>
      </c>
      <c r="P590">
        <v>0</v>
      </c>
      <c r="T590" t="str">
        <f>Attack[[#This Row],[服装]]&amp;Attack[[#This Row],[名前]]&amp;Attack[[#This Row],[レアリティ]]</f>
        <v>水着天童覚ICONIC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1</v>
      </c>
      <c r="C591" s="1" t="s">
        <v>895</v>
      </c>
      <c r="D591" t="s">
        <v>110</v>
      </c>
      <c r="E591" s="1" t="s">
        <v>77</v>
      </c>
      <c r="F591" t="s">
        <v>82</v>
      </c>
      <c r="G591" t="s">
        <v>118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35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文化祭天童覚ICONIC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2</v>
      </c>
      <c r="C592" s="1" t="s">
        <v>895</v>
      </c>
      <c r="D592" t="s">
        <v>110</v>
      </c>
      <c r="E592" s="1" t="s">
        <v>77</v>
      </c>
      <c r="F592" t="s">
        <v>82</v>
      </c>
      <c r="G592" t="s">
        <v>118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文化祭天童覚ICONIC</v>
      </c>
    </row>
    <row r="593" spans="1:20" x14ac:dyDescent="0.35">
      <c r="A593">
        <f>VLOOKUP(Attack[[#This Row],[No用]],SetNo[[No.用]:[vlookup 用]],2,FALSE)</f>
        <v>149</v>
      </c>
      <c r="B593">
        <f>IF(ROW()=2,1,IF(A592&lt;&gt;Attack[[#This Row],[No]],1,B592+1))</f>
        <v>1</v>
      </c>
      <c r="C593" t="s">
        <v>108</v>
      </c>
      <c r="D593" t="s">
        <v>111</v>
      </c>
      <c r="E593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ユニフォーム五色工ICONIC</v>
      </c>
    </row>
    <row r="594" spans="1:20" x14ac:dyDescent="0.35">
      <c r="A594">
        <f>VLOOKUP(Attack[[#This Row],[No用]],SetNo[[No.用]:[vlookup 用]],2,FALSE)</f>
        <v>149</v>
      </c>
      <c r="B594">
        <f>IF(ROW()=2,1,IF(A593&lt;&gt;Attack[[#This Row],[No]],1,B593+1))</f>
        <v>2</v>
      </c>
      <c r="C594" t="s">
        <v>108</v>
      </c>
      <c r="D594" t="s">
        <v>111</v>
      </c>
      <c r="E594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ユニフォーム五色工ICONIC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3</v>
      </c>
      <c r="C595" t="s">
        <v>108</v>
      </c>
      <c r="D595" t="s">
        <v>111</v>
      </c>
      <c r="E595" t="s">
        <v>77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284</v>
      </c>
      <c r="L595" s="1" t="s">
        <v>173</v>
      </c>
      <c r="M595">
        <v>45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ユニフォーム五色工ICONIC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4</v>
      </c>
      <c r="C596" t="s">
        <v>108</v>
      </c>
      <c r="D596" t="s">
        <v>111</v>
      </c>
      <c r="E596" t="s">
        <v>77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ユニフォーム五色工ICONIC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5</v>
      </c>
      <c r="C597" t="s">
        <v>108</v>
      </c>
      <c r="D597" t="s">
        <v>111</v>
      </c>
      <c r="E597" t="s">
        <v>77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ユニフォーム五色工ICONIC</v>
      </c>
    </row>
    <row r="598" spans="1:20" x14ac:dyDescent="0.35">
      <c r="A598">
        <f>VLOOKUP(Attack[[#This Row],[No用]],SetNo[[No.用]:[vlookup 用]],2,FALSE)</f>
        <v>150</v>
      </c>
      <c r="B598">
        <f>IF(ROW()=2,1,IF(A597&lt;&gt;Attack[[#This Row],[No]],1,B597+1))</f>
        <v>1</v>
      </c>
      <c r="C598" s="1" t="s">
        <v>702</v>
      </c>
      <c r="D598" t="s">
        <v>111</v>
      </c>
      <c r="E598" s="1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職業体験五色工ICONIC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2</v>
      </c>
      <c r="C599" s="1" t="s">
        <v>702</v>
      </c>
      <c r="D599" t="s">
        <v>111</v>
      </c>
      <c r="E599" s="1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169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職業体験五色工ICONIC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3</v>
      </c>
      <c r="C600" s="1" t="s">
        <v>702</v>
      </c>
      <c r="D600" t="s">
        <v>111</v>
      </c>
      <c r="E600" s="1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235</v>
      </c>
      <c r="K600" s="1" t="s">
        <v>170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職業体験五色工ICONIC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4</v>
      </c>
      <c r="C601" s="1" t="s">
        <v>702</v>
      </c>
      <c r="D601" t="s">
        <v>111</v>
      </c>
      <c r="E601" s="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271</v>
      </c>
      <c r="L601" s="1" t="s">
        <v>178</v>
      </c>
      <c r="M601">
        <v>33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職業体験五色工ICONIC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5</v>
      </c>
      <c r="C602" s="1" t="s">
        <v>702</v>
      </c>
      <c r="D602" t="s">
        <v>111</v>
      </c>
      <c r="E602" s="1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284</v>
      </c>
      <c r="L602" s="1" t="s">
        <v>173</v>
      </c>
      <c r="M602">
        <v>45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職業体験五色工ICONIC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6</v>
      </c>
      <c r="C603" s="1" t="s">
        <v>702</v>
      </c>
      <c r="D603" t="s">
        <v>111</v>
      </c>
      <c r="E603" s="1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職業体験五色工ICONIC</v>
      </c>
    </row>
    <row r="604" spans="1:20" x14ac:dyDescent="0.35">
      <c r="A604">
        <f>VLOOKUP(Attack[[#This Row],[No用]],SetNo[[No.用]:[vlookup 用]],2,FALSE)</f>
        <v>150</v>
      </c>
      <c r="B604">
        <f>IF(ROW()=2,1,IF(A603&lt;&gt;Attack[[#This Row],[No]],1,B603+1))</f>
        <v>7</v>
      </c>
      <c r="C604" s="1" t="s">
        <v>702</v>
      </c>
      <c r="D604" t="s">
        <v>111</v>
      </c>
      <c r="E604" s="1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職業体験五色工ICONIC</v>
      </c>
    </row>
    <row r="605" spans="1:20" x14ac:dyDescent="0.35">
      <c r="A605">
        <f>VLOOKUP(Attack[[#This Row],[No用]],SetNo[[No.用]:[vlookup 用]],2,FALSE)</f>
        <v>150</v>
      </c>
      <c r="B605">
        <f>IF(ROW()=2,1,IF(A604&lt;&gt;Attack[[#This Row],[No]],1,B604+1))</f>
        <v>8</v>
      </c>
      <c r="C605" s="1" t="s">
        <v>702</v>
      </c>
      <c r="D605" t="s">
        <v>111</v>
      </c>
      <c r="E605" s="1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271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Attack[[#This Row],[服装]]&amp;Attack[[#This Row],[名前]]&amp;Attack[[#This Row],[レアリティ]]</f>
        <v>職業体験五色工ICONIC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1</v>
      </c>
      <c r="C606" t="s">
        <v>108</v>
      </c>
      <c r="D606" t="s">
        <v>112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235</v>
      </c>
      <c r="K606" t="s">
        <v>9</v>
      </c>
      <c r="L606" t="s">
        <v>398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ユニフォーム白布賢二郎ICONIC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2</v>
      </c>
      <c r="C607" t="s">
        <v>108</v>
      </c>
      <c r="D607" t="s">
        <v>112</v>
      </c>
      <c r="E607" t="s">
        <v>73</v>
      </c>
      <c r="F607" t="s">
        <v>74</v>
      </c>
      <c r="G607" t="s">
        <v>118</v>
      </c>
      <c r="H607" t="s">
        <v>71</v>
      </c>
      <c r="I607">
        <v>1</v>
      </c>
      <c r="J607" t="s">
        <v>235</v>
      </c>
      <c r="K607" t="s">
        <v>396</v>
      </c>
      <c r="L607" t="s">
        <v>398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ユニフォーム白布賢二郎ICONIC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1</v>
      </c>
      <c r="C608" t="s">
        <v>391</v>
      </c>
      <c r="D608" t="s">
        <v>392</v>
      </c>
      <c r="E608" t="s">
        <v>24</v>
      </c>
      <c r="F608" t="s">
        <v>31</v>
      </c>
      <c r="G608" t="s">
        <v>157</v>
      </c>
      <c r="H608" t="s">
        <v>71</v>
      </c>
      <c r="I608">
        <v>1</v>
      </c>
      <c r="J608" t="s">
        <v>235</v>
      </c>
      <c r="K608" t="s">
        <v>9</v>
      </c>
      <c r="L608" t="s">
        <v>398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探偵白布賢二郎ICONIC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2</v>
      </c>
      <c r="C609" t="s">
        <v>391</v>
      </c>
      <c r="D609" t="s">
        <v>392</v>
      </c>
      <c r="E609" t="s">
        <v>24</v>
      </c>
      <c r="F609" t="s">
        <v>31</v>
      </c>
      <c r="G609" t="s">
        <v>157</v>
      </c>
      <c r="H609" t="s">
        <v>71</v>
      </c>
      <c r="I609">
        <v>1</v>
      </c>
      <c r="J609" t="s">
        <v>235</v>
      </c>
      <c r="K609" t="s">
        <v>396</v>
      </c>
      <c r="L609" t="s">
        <v>398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探偵白布賢二郎ICONIC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t="s">
        <v>108</v>
      </c>
      <c r="D610" t="s">
        <v>113</v>
      </c>
      <c r="E610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ユニフォーム大平獅音ICONIC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2</v>
      </c>
      <c r="C611" t="s">
        <v>108</v>
      </c>
      <c r="D611" t="s">
        <v>113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ユニフォーム大平獅音ICONIC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3</v>
      </c>
      <c r="C612" t="s">
        <v>108</v>
      </c>
      <c r="D612" t="s">
        <v>113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ユニフォーム大平獅音ICONIC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4</v>
      </c>
      <c r="C613" t="s">
        <v>108</v>
      </c>
      <c r="D613" t="s">
        <v>113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Attack[[#This Row],[服装]]&amp;Attack[[#This Row],[名前]]&amp;Attack[[#This Row],[レアリティ]]</f>
        <v>ユニフォーム大平獅音ICONIC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t="s">
        <v>108</v>
      </c>
      <c r="D614" t="s">
        <v>114</v>
      </c>
      <c r="E614" t="s">
        <v>73</v>
      </c>
      <c r="F614" t="s">
        <v>82</v>
      </c>
      <c r="G614" t="s">
        <v>118</v>
      </c>
      <c r="H614" t="s">
        <v>71</v>
      </c>
      <c r="I614">
        <v>1</v>
      </c>
      <c r="J614" t="s">
        <v>403</v>
      </c>
      <c r="K614" s="1" t="s">
        <v>168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ユニフォーム川西太一ICONIC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t="s">
        <v>108</v>
      </c>
      <c r="D615" t="s">
        <v>114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403</v>
      </c>
      <c r="K615" s="1" t="s">
        <v>169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ユニフォーム川西太一ICONIC</v>
      </c>
    </row>
    <row r="616" spans="1:20" x14ac:dyDescent="0.35">
      <c r="A616">
        <f>VLOOKUP(Attack[[#This Row],[No用]],SetNo[[No.用]:[vlookup 用]],2,FALSE)</f>
        <v>155</v>
      </c>
      <c r="B616">
        <f>IF(ROW()=2,1,IF(A615&lt;&gt;Attack[[#This Row],[No]],1,B615+1))</f>
        <v>1</v>
      </c>
      <c r="C616" s="1" t="s">
        <v>1122</v>
      </c>
      <c r="D616" s="1" t="s">
        <v>114</v>
      </c>
      <c r="E616" s="1" t="s">
        <v>90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路地裏川西太一ICONIC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2</v>
      </c>
      <c r="C617" s="1" t="s">
        <v>1122</v>
      </c>
      <c r="D617" s="1" t="s">
        <v>114</v>
      </c>
      <c r="E617" s="1" t="s">
        <v>90</v>
      </c>
      <c r="F617" s="1" t="s">
        <v>82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路地裏川西太一ICONIC</v>
      </c>
    </row>
    <row r="618" spans="1:20" x14ac:dyDescent="0.35">
      <c r="A618">
        <f>VLOOKUP(Attack[[#This Row],[No用]],SetNo[[No.用]:[vlookup 用]],2,FALSE)</f>
        <v>156</v>
      </c>
      <c r="B618">
        <f>IF(ROW()=2,1,IF(A617&lt;&gt;Attack[[#This Row],[No]],1,B617+1))</f>
        <v>1</v>
      </c>
      <c r="C618" t="s">
        <v>108</v>
      </c>
      <c r="D618" s="1" t="s">
        <v>662</v>
      </c>
      <c r="E618" t="s">
        <v>73</v>
      </c>
      <c r="F618" t="s">
        <v>74</v>
      </c>
      <c r="G618" t="s">
        <v>118</v>
      </c>
      <c r="H618" t="s">
        <v>71</v>
      </c>
      <c r="I618">
        <v>1</v>
      </c>
      <c r="J618" t="s">
        <v>235</v>
      </c>
      <c r="K618" s="1" t="s">
        <v>168</v>
      </c>
      <c r="L618" s="1" t="s">
        <v>178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ユニフォーム瀬見英太ICONIC</v>
      </c>
    </row>
    <row r="619" spans="1:20" x14ac:dyDescent="0.35">
      <c r="A619">
        <f>VLOOKUP(Attack[[#This Row],[No用]],SetNo[[No.用]:[vlookup 用]],2,FALSE)</f>
        <v>156</v>
      </c>
      <c r="B619">
        <f>IF(ROW()=2,1,IF(A618&lt;&gt;Attack[[#This Row],[No]],1,B618+1))</f>
        <v>2</v>
      </c>
      <c r="C619" t="s">
        <v>108</v>
      </c>
      <c r="D619" s="1" t="s">
        <v>662</v>
      </c>
      <c r="E619" t="s">
        <v>73</v>
      </c>
      <c r="F619" t="s">
        <v>74</v>
      </c>
      <c r="G619" t="s">
        <v>118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ユニフォーム瀬見英太ICONIC</v>
      </c>
    </row>
    <row r="620" spans="1:20" x14ac:dyDescent="0.35">
      <c r="A620">
        <f>VLOOKUP(Attack[[#This Row],[No用]],SetNo[[No.用]:[vlookup 用]],2,FALSE)</f>
        <v>157</v>
      </c>
      <c r="B620">
        <f>IF(ROW()=2,1,IF(A619&lt;&gt;Attack[[#This Row],[No]],1,B619+1))</f>
        <v>1</v>
      </c>
      <c r="C620" s="1" t="s">
        <v>988</v>
      </c>
      <c r="D620" s="1" t="s">
        <v>662</v>
      </c>
      <c r="E620" s="1" t="s">
        <v>90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s="1" t="s">
        <v>168</v>
      </c>
      <c r="L620" s="1" t="s">
        <v>178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雪遊び瀬見英太ICONIC</v>
      </c>
    </row>
    <row r="621" spans="1:20" x14ac:dyDescent="0.35">
      <c r="A621">
        <f>VLOOKUP(Attack[[#This Row],[No用]],SetNo[[No.用]:[vlookup 用]],2,FALSE)</f>
        <v>157</v>
      </c>
      <c r="B621">
        <f>IF(ROW()=2,1,IF(A620&lt;&gt;Attack[[#This Row],[No]],1,B620+1))</f>
        <v>2</v>
      </c>
      <c r="C621" s="1" t="s">
        <v>988</v>
      </c>
      <c r="D621" s="1" t="s">
        <v>662</v>
      </c>
      <c r="E621" s="1" t="s">
        <v>90</v>
      </c>
      <c r="F621" t="s">
        <v>74</v>
      </c>
      <c r="G621" t="s">
        <v>118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28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雪遊び瀬見英太ICONIC</v>
      </c>
    </row>
    <row r="622" spans="1:20" x14ac:dyDescent="0.35">
      <c r="A622">
        <f>VLOOKUP(Attack[[#This Row],[No用]],SetNo[[No.用]:[vlookup 用]],2,FALSE)</f>
        <v>158</v>
      </c>
      <c r="B622">
        <f>IF(ROW()=2,1,IF(A621&lt;&gt;Attack[[#This Row],[No]],1,B621+1))</f>
        <v>1</v>
      </c>
      <c r="C622" t="s">
        <v>108</v>
      </c>
      <c r="D622" t="s">
        <v>115</v>
      </c>
      <c r="E622" t="s">
        <v>73</v>
      </c>
      <c r="F622" t="s">
        <v>80</v>
      </c>
      <c r="G622" t="s">
        <v>118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ユニフォーム山形隼人ICONIC</v>
      </c>
    </row>
    <row r="623" spans="1:20" x14ac:dyDescent="0.35">
      <c r="A623">
        <f>VLOOKUP(Attack[[#This Row],[No用]],SetNo[[No.用]:[vlookup 用]],2,FALSE)</f>
        <v>159</v>
      </c>
      <c r="B623">
        <f>IF(ROW()=2,1,IF(A622&lt;&gt;Attack[[#This Row],[No]],1,B622+1))</f>
        <v>1</v>
      </c>
      <c r="C623" t="s">
        <v>108</v>
      </c>
      <c r="D623" t="s">
        <v>186</v>
      </c>
      <c r="E623" t="s">
        <v>77</v>
      </c>
      <c r="F623" t="s">
        <v>74</v>
      </c>
      <c r="G623" t="s">
        <v>185</v>
      </c>
      <c r="H623" t="s">
        <v>71</v>
      </c>
      <c r="I623">
        <v>1</v>
      </c>
      <c r="J623" t="s">
        <v>235</v>
      </c>
      <c r="K623" s="1" t="s">
        <v>168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ユニフォーム宮侑ICONIC</v>
      </c>
    </row>
    <row r="624" spans="1:20" x14ac:dyDescent="0.35">
      <c r="A624">
        <f>VLOOKUP(Attack[[#This Row],[No用]],SetNo[[No.用]:[vlookup 用]],2,FALSE)</f>
        <v>159</v>
      </c>
      <c r="B624">
        <f>IF(ROW()=2,1,IF(A623&lt;&gt;Attack[[#This Row],[No]],1,B623+1))</f>
        <v>2</v>
      </c>
      <c r="C624" t="s">
        <v>108</v>
      </c>
      <c r="D624" t="s">
        <v>186</v>
      </c>
      <c r="E624" t="s">
        <v>77</v>
      </c>
      <c r="F624" t="s">
        <v>74</v>
      </c>
      <c r="G624" t="s">
        <v>185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ユニフォーム宮侑ICONIC</v>
      </c>
    </row>
    <row r="625" spans="1:20" x14ac:dyDescent="0.35">
      <c r="A625">
        <f>VLOOKUP(Attack[[#This Row],[No用]],SetNo[[No.用]:[vlookup 用]],2,FALSE)</f>
        <v>160</v>
      </c>
      <c r="B625">
        <f>IF(ROW()=2,1,IF(A624&lt;&gt;Attack[[#This Row],[No]],1,B624+1))</f>
        <v>1</v>
      </c>
      <c r="C625" s="1" t="s">
        <v>895</v>
      </c>
      <c r="D625" t="s">
        <v>186</v>
      </c>
      <c r="E625" s="1" t="s">
        <v>73</v>
      </c>
      <c r="F625" t="s">
        <v>74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文化祭宮侑ICONIC</v>
      </c>
    </row>
    <row r="626" spans="1:20" x14ac:dyDescent="0.35">
      <c r="A626">
        <f>VLOOKUP(Attack[[#This Row],[No用]],SetNo[[No.用]:[vlookup 用]],2,FALSE)</f>
        <v>160</v>
      </c>
      <c r="B626">
        <f>IF(ROW()=2,1,IF(A625&lt;&gt;Attack[[#This Row],[No]],1,B625+1))</f>
        <v>2</v>
      </c>
      <c r="C626" s="1" t="s">
        <v>895</v>
      </c>
      <c r="D626" t="s">
        <v>186</v>
      </c>
      <c r="E626" s="1" t="s">
        <v>73</v>
      </c>
      <c r="F626" t="s">
        <v>74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文化祭宮侑ICONIC</v>
      </c>
    </row>
    <row r="627" spans="1:20" x14ac:dyDescent="0.35">
      <c r="A627">
        <f>VLOOKUP(Attack[[#This Row],[No用]],SetNo[[No.用]:[vlookup 用]],2,FALSE)</f>
        <v>161</v>
      </c>
      <c r="B627">
        <f>IF(ROW()=2,1,IF(A626&lt;&gt;Attack[[#This Row],[No]],1,B626+1))</f>
        <v>1</v>
      </c>
      <c r="C627" s="1" t="s">
        <v>1071</v>
      </c>
      <c r="D627" s="1" t="s">
        <v>186</v>
      </c>
      <c r="E627" s="1" t="s">
        <v>90</v>
      </c>
      <c r="F627" s="1" t="s">
        <v>74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RPG宮侑ICONIC</v>
      </c>
    </row>
    <row r="628" spans="1:20" x14ac:dyDescent="0.35">
      <c r="A628">
        <f>VLOOKUP(Attack[[#This Row],[No用]],SetNo[[No.用]:[vlookup 用]],2,FALSE)</f>
        <v>161</v>
      </c>
      <c r="B628">
        <f>IF(ROW()=2,1,IF(A627&lt;&gt;Attack[[#This Row],[No]],1,B627+1))</f>
        <v>2</v>
      </c>
      <c r="C628" s="1" t="s">
        <v>1071</v>
      </c>
      <c r="D628" s="1" t="s">
        <v>186</v>
      </c>
      <c r="E628" s="1" t="s">
        <v>90</v>
      </c>
      <c r="F628" s="1" t="s">
        <v>74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RPG宮侑ICONIC</v>
      </c>
    </row>
    <row r="629" spans="1:20" x14ac:dyDescent="0.35">
      <c r="A629">
        <f>VLOOKUP(Attack[[#This Row],[No用]],SetNo[[No.用]:[vlookup 用]],2,FALSE)</f>
        <v>162</v>
      </c>
      <c r="B629">
        <f>IF(ROW()=2,1,IF(A628&lt;&gt;Attack[[#This Row],[No]],1,B628+1))</f>
        <v>1</v>
      </c>
      <c r="C629" t="s">
        <v>108</v>
      </c>
      <c r="D629" t="s">
        <v>187</v>
      </c>
      <c r="E629" t="s">
        <v>90</v>
      </c>
      <c r="F629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ユニフォーム宮治ICONIC</v>
      </c>
    </row>
    <row r="630" spans="1:20" x14ac:dyDescent="0.35">
      <c r="A630">
        <f>VLOOKUP(Attack[[#This Row],[No用]],SetNo[[No.用]:[vlookup 用]],2,FALSE)</f>
        <v>162</v>
      </c>
      <c r="B630">
        <f>IF(ROW()=2,1,IF(A629&lt;&gt;Attack[[#This Row],[No]],1,B629+1))</f>
        <v>2</v>
      </c>
      <c r="C630" t="s">
        <v>108</v>
      </c>
      <c r="D630" t="s">
        <v>187</v>
      </c>
      <c r="E630" t="s">
        <v>90</v>
      </c>
      <c r="F630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ユニフォーム宮治ICONIC</v>
      </c>
    </row>
    <row r="631" spans="1:20" x14ac:dyDescent="0.35">
      <c r="A631">
        <f>VLOOKUP(Attack[[#This Row],[No用]],SetNo[[No.用]:[vlookup 用]],2,FALSE)</f>
        <v>162</v>
      </c>
      <c r="B631">
        <f>IF(ROW()=2,1,IF(A630&lt;&gt;Attack[[#This Row],[No]],1,B630+1))</f>
        <v>3</v>
      </c>
      <c r="C631" t="s">
        <v>108</v>
      </c>
      <c r="D631" t="s">
        <v>187</v>
      </c>
      <c r="E631" t="s">
        <v>90</v>
      </c>
      <c r="F63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ユニフォーム宮治ICONIC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4</v>
      </c>
      <c r="C632" t="s">
        <v>108</v>
      </c>
      <c r="D632" t="s">
        <v>187</v>
      </c>
      <c r="E632" t="s">
        <v>90</v>
      </c>
      <c r="F632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ユニフォーム宮治ICONIC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5</v>
      </c>
      <c r="C633" t="s">
        <v>108</v>
      </c>
      <c r="D633" t="s">
        <v>187</v>
      </c>
      <c r="E633" t="s">
        <v>90</v>
      </c>
      <c r="F633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168</v>
      </c>
      <c r="L633" s="1" t="s">
        <v>225</v>
      </c>
      <c r="M633">
        <v>50</v>
      </c>
      <c r="N633">
        <v>0</v>
      </c>
      <c r="O633">
        <v>60</v>
      </c>
      <c r="P633">
        <v>0</v>
      </c>
      <c r="T633" t="str">
        <f>Attack[[#This Row],[服装]]&amp;Attack[[#This Row],[名前]]&amp;Attack[[#This Row],[レアリティ]]</f>
        <v>ユニフォーム宮治ICONIC</v>
      </c>
    </row>
    <row r="634" spans="1:20" x14ac:dyDescent="0.35">
      <c r="A634">
        <f>VLOOKUP(Attack[[#This Row],[No用]],SetNo[[No.用]:[vlookup 用]],2,FALSE)</f>
        <v>162</v>
      </c>
      <c r="B634">
        <f>IF(ROW()=2,1,IF(A633&lt;&gt;Attack[[#This Row],[No]],1,B633+1))</f>
        <v>6</v>
      </c>
      <c r="C634" t="s">
        <v>108</v>
      </c>
      <c r="D634" t="s">
        <v>187</v>
      </c>
      <c r="E634" t="s">
        <v>90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169</v>
      </c>
      <c r="L634" s="1" t="s">
        <v>225</v>
      </c>
      <c r="M634">
        <v>52</v>
      </c>
      <c r="N634">
        <v>0</v>
      </c>
      <c r="O634">
        <v>62</v>
      </c>
      <c r="P634">
        <v>0</v>
      </c>
      <c r="T634" t="str">
        <f>Attack[[#This Row],[服装]]&amp;Attack[[#This Row],[名前]]&amp;Attack[[#This Row],[レアリティ]]</f>
        <v>ユニフォーム宮治ICONIC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1</v>
      </c>
      <c r="C635" s="1" t="s">
        <v>1071</v>
      </c>
      <c r="D635" s="1" t="s">
        <v>187</v>
      </c>
      <c r="E635" s="1" t="s">
        <v>90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RPG宮治ICONIC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2</v>
      </c>
      <c r="C636" s="1" t="s">
        <v>1071</v>
      </c>
      <c r="D636" s="1" t="s">
        <v>187</v>
      </c>
      <c r="E636" s="1" t="s">
        <v>90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RPG宮治ICONIC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3</v>
      </c>
      <c r="C637" s="1" t="s">
        <v>1071</v>
      </c>
      <c r="D637" s="1" t="s">
        <v>187</v>
      </c>
      <c r="E637" s="1" t="s">
        <v>90</v>
      </c>
      <c r="F637" s="1" t="s">
        <v>78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170</v>
      </c>
      <c r="L637" s="1" t="s">
        <v>173</v>
      </c>
      <c r="M637">
        <v>41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RPG宮治ICONIC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4</v>
      </c>
      <c r="C638" s="1" t="s">
        <v>1071</v>
      </c>
      <c r="D638" s="1" t="s">
        <v>187</v>
      </c>
      <c r="E638" s="1" t="s">
        <v>90</v>
      </c>
      <c r="F638" s="1" t="s">
        <v>78</v>
      </c>
      <c r="G638" s="1" t="s">
        <v>185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32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RPG宮治ICONIC</v>
      </c>
    </row>
    <row r="639" spans="1:20" x14ac:dyDescent="0.35">
      <c r="A639">
        <f>VLOOKUP(Attack[[#This Row],[No用]],SetNo[[No.用]:[vlookup 用]],2,FALSE)</f>
        <v>164</v>
      </c>
      <c r="B639">
        <f>IF(ROW()=2,1,IF(A638&lt;&gt;Attack[[#This Row],[No]],1,B638+1))</f>
        <v>1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235</v>
      </c>
      <c r="K639" s="1" t="s">
        <v>168</v>
      </c>
      <c r="L639" s="1" t="s">
        <v>178</v>
      </c>
      <c r="M639">
        <v>37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ユニフォーム角名倫太郎ICONIC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2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32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ユニフォーム角名倫太郎ICONIC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3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235</v>
      </c>
      <c r="K641" s="1" t="s">
        <v>171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ユニフォーム角名倫太郎ICONIC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4</v>
      </c>
      <c r="C642" t="s">
        <v>108</v>
      </c>
      <c r="D642" t="s">
        <v>188</v>
      </c>
      <c r="E642" t="s">
        <v>77</v>
      </c>
      <c r="F642" t="s">
        <v>82</v>
      </c>
      <c r="G642" t="s">
        <v>185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ユニフォーム角名倫太郎ICONIC</v>
      </c>
    </row>
    <row r="643" spans="1:20" x14ac:dyDescent="0.35">
      <c r="A643">
        <f>VLOOKUP(Attack[[#This Row],[No用]],SetNo[[No.用]:[vlookup 用]],2,FALSE)</f>
        <v>165</v>
      </c>
      <c r="B643">
        <f>IF(ROW()=2,1,IF(A642&lt;&gt;Attack[[#This Row],[No]],1,B642+1))</f>
        <v>1</v>
      </c>
      <c r="C643" s="1" t="s">
        <v>1049</v>
      </c>
      <c r="D643" s="1" t="s">
        <v>188</v>
      </c>
      <c r="E643" s="1" t="s">
        <v>73</v>
      </c>
      <c r="F643" s="1" t="s">
        <v>82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サバゲ角名倫太郎ICONIC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2</v>
      </c>
      <c r="C644" s="1" t="s">
        <v>1049</v>
      </c>
      <c r="D644" s="1" t="s">
        <v>188</v>
      </c>
      <c r="E644" s="1" t="s">
        <v>73</v>
      </c>
      <c r="F644" s="1" t="s">
        <v>82</v>
      </c>
      <c r="G644" s="1" t="s">
        <v>185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サバゲ角名倫太郎ICONIC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3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サバゲ角名倫太郎ICONIC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4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サバゲ角名倫太郎ICONIC</v>
      </c>
    </row>
    <row r="647" spans="1:20" x14ac:dyDescent="0.35">
      <c r="A647">
        <f>VLOOKUP(Attack[[#This Row],[No用]],SetNo[[No.用]:[vlookup 用]],2,FALSE)</f>
        <v>165</v>
      </c>
      <c r="B647">
        <f>IF(ROW()=2,1,IF(A646&lt;&gt;Attack[[#This Row],[No]],1,B646+1))</f>
        <v>5</v>
      </c>
      <c r="C647" s="1" t="s">
        <v>1049</v>
      </c>
      <c r="D647" s="1" t="s">
        <v>188</v>
      </c>
      <c r="E647" s="1" t="s">
        <v>73</v>
      </c>
      <c r="F647" s="1" t="s">
        <v>82</v>
      </c>
      <c r="G647" s="1" t="s">
        <v>185</v>
      </c>
      <c r="H647" s="1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Attack[[#This Row],[服装]]&amp;Attack[[#This Row],[名前]]&amp;Attack[[#This Row],[レアリティ]]</f>
        <v>サバゲ角名倫太郎ICONIC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1</v>
      </c>
      <c r="C648" t="s">
        <v>108</v>
      </c>
      <c r="D648" t="s">
        <v>189</v>
      </c>
      <c r="E648" t="s">
        <v>77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ユニフォーム北信介ICONIC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2</v>
      </c>
      <c r="C649" t="s">
        <v>108</v>
      </c>
      <c r="D649" t="s">
        <v>189</v>
      </c>
      <c r="E649" t="s">
        <v>77</v>
      </c>
      <c r="F649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ユニフォーム北信介ICONIC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3</v>
      </c>
      <c r="C650" t="s">
        <v>108</v>
      </c>
      <c r="D650" t="s">
        <v>189</v>
      </c>
      <c r="E650" t="s">
        <v>77</v>
      </c>
      <c r="F650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271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ユニフォーム北信介ICONIC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4</v>
      </c>
      <c r="C651" t="s">
        <v>108</v>
      </c>
      <c r="D651" t="s">
        <v>189</v>
      </c>
      <c r="E651" t="s">
        <v>77</v>
      </c>
      <c r="F65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Attack[[#This Row],[服装]]&amp;Attack[[#This Row],[名前]]&amp;Attack[[#This Row],[レアリティ]]</f>
        <v>ユニフォーム北信介ICONIC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915</v>
      </c>
      <c r="D652" t="s">
        <v>189</v>
      </c>
      <c r="E652" s="1" t="s">
        <v>73</v>
      </c>
      <c r="F652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Xmas北信介ICONIC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915</v>
      </c>
      <c r="D653" t="s">
        <v>189</v>
      </c>
      <c r="E653" s="1" t="s">
        <v>73</v>
      </c>
      <c r="F653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Xmas北信介ICONIC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3</v>
      </c>
      <c r="C654" s="1" t="s">
        <v>915</v>
      </c>
      <c r="D654" t="s">
        <v>189</v>
      </c>
      <c r="E654" s="1" t="s">
        <v>73</v>
      </c>
      <c r="F654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271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Xmas北信介ICONIC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1</v>
      </c>
      <c r="C655" t="s">
        <v>108</v>
      </c>
      <c r="D655" s="1" t="s">
        <v>665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ユニフォーム尾白アランICONIC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2</v>
      </c>
      <c r="C656" t="s">
        <v>108</v>
      </c>
      <c r="D656" s="1" t="s">
        <v>665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169</v>
      </c>
      <c r="L656" s="1" t="s">
        <v>178</v>
      </c>
      <c r="M656">
        <v>37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ユニフォーム尾白アランICONIC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3</v>
      </c>
      <c r="C657" t="s">
        <v>108</v>
      </c>
      <c r="D657" s="1" t="s">
        <v>665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170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ユニフォーム尾白アランICONIC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4</v>
      </c>
      <c r="C658" t="s">
        <v>108</v>
      </c>
      <c r="D658" s="1" t="s">
        <v>665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271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ユニフォーム尾白アランICONIC</v>
      </c>
    </row>
    <row r="659" spans="1:20" x14ac:dyDescent="0.35">
      <c r="A659">
        <f>VLOOKUP(Attack[[#This Row],[No用]],SetNo[[No.用]:[vlookup 用]],2,FALSE)</f>
        <v>168</v>
      </c>
      <c r="B659">
        <f>IF(ROW()=2,1,IF(A658&lt;&gt;Attack[[#This Row],[No]],1,B658+1))</f>
        <v>5</v>
      </c>
      <c r="C659" t="s">
        <v>108</v>
      </c>
      <c r="D659" s="1" t="s">
        <v>665</v>
      </c>
      <c r="E659" t="s">
        <v>77</v>
      </c>
      <c r="F659" s="1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45</v>
      </c>
      <c r="N659">
        <v>0</v>
      </c>
      <c r="O659">
        <v>55</v>
      </c>
      <c r="P659">
        <v>0</v>
      </c>
      <c r="T659" t="str">
        <f>Attack[[#This Row],[服装]]&amp;Attack[[#This Row],[名前]]&amp;Attack[[#This Row],[レアリティ]]</f>
        <v>ユニフォーム尾白アランICONIC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1</v>
      </c>
      <c r="C660" s="1" t="s">
        <v>959</v>
      </c>
      <c r="D660" s="1" t="s">
        <v>665</v>
      </c>
      <c r="E660" s="1" t="s">
        <v>979</v>
      </c>
      <c r="F660" s="1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雪遊び尾白アランICONIC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2</v>
      </c>
      <c r="C661" s="1" t="s">
        <v>959</v>
      </c>
      <c r="D661" s="1" t="s">
        <v>665</v>
      </c>
      <c r="E661" s="1" t="s">
        <v>979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178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雪遊び尾白アランICONIC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3</v>
      </c>
      <c r="C662" s="1" t="s">
        <v>959</v>
      </c>
      <c r="D662" s="1" t="s">
        <v>665</v>
      </c>
      <c r="E662" s="1" t="s">
        <v>979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雪遊び尾白アランICONIC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4</v>
      </c>
      <c r="C663" s="1" t="s">
        <v>959</v>
      </c>
      <c r="D663" s="1" t="s">
        <v>665</v>
      </c>
      <c r="E663" s="1" t="s">
        <v>979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雪遊び尾白アランICONIC</v>
      </c>
    </row>
    <row r="664" spans="1:20" x14ac:dyDescent="0.35">
      <c r="A664">
        <f>VLOOKUP(Attack[[#This Row],[No用]],SetNo[[No.用]:[vlookup 用]],2,FALSE)</f>
        <v>169</v>
      </c>
      <c r="B664">
        <f>IF(ROW()=2,1,IF(A663&lt;&gt;Attack[[#This Row],[No]],1,B663+1))</f>
        <v>5</v>
      </c>
      <c r="C664" s="1" t="s">
        <v>959</v>
      </c>
      <c r="D664" s="1" t="s">
        <v>665</v>
      </c>
      <c r="E664" s="1" t="s">
        <v>979</v>
      </c>
      <c r="F664" s="1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45</v>
      </c>
      <c r="N664">
        <v>0</v>
      </c>
      <c r="O664">
        <v>55</v>
      </c>
      <c r="P664">
        <v>0</v>
      </c>
      <c r="T664" t="str">
        <f>Attack[[#This Row],[服装]]&amp;Attack[[#This Row],[名前]]&amp;Attack[[#This Row],[レアリティ]]</f>
        <v>雪遊び尾白アランICONIC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1</v>
      </c>
      <c r="C665" t="s">
        <v>108</v>
      </c>
      <c r="D665" s="1" t="s">
        <v>667</v>
      </c>
      <c r="E665" t="s">
        <v>77</v>
      </c>
      <c r="F665" s="1" t="s">
        <v>80</v>
      </c>
      <c r="G665" t="s">
        <v>185</v>
      </c>
      <c r="H665" t="s">
        <v>71</v>
      </c>
      <c r="I665">
        <v>1</v>
      </c>
      <c r="J665" t="s">
        <v>235</v>
      </c>
      <c r="M665">
        <v>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ユニフォーム赤木路成ICONIC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1</v>
      </c>
      <c r="C666" t="s">
        <v>108</v>
      </c>
      <c r="D666" s="1" t="s">
        <v>669</v>
      </c>
      <c r="E666" t="s">
        <v>77</v>
      </c>
      <c r="F666" s="1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168</v>
      </c>
      <c r="L666" s="1" t="s">
        <v>178</v>
      </c>
      <c r="M666">
        <v>33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ユニフォーム大耳練ICONIC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2</v>
      </c>
      <c r="C667" t="s">
        <v>108</v>
      </c>
      <c r="D667" s="1" t="s">
        <v>669</v>
      </c>
      <c r="E667" t="s">
        <v>77</v>
      </c>
      <c r="F667" s="1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30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ユニフォーム大耳練ICONIC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3</v>
      </c>
      <c r="C668" t="s">
        <v>108</v>
      </c>
      <c r="D668" s="1" t="s">
        <v>669</v>
      </c>
      <c r="E668" t="s">
        <v>77</v>
      </c>
      <c r="F668" s="1" t="s">
        <v>82</v>
      </c>
      <c r="G668" t="s">
        <v>185</v>
      </c>
      <c r="H668" t="s">
        <v>71</v>
      </c>
      <c r="I668">
        <v>1</v>
      </c>
      <c r="J668" t="s">
        <v>235</v>
      </c>
      <c r="K668" s="1" t="s">
        <v>172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ユニフォーム大耳練ICONIC</v>
      </c>
    </row>
    <row r="669" spans="1:20" x14ac:dyDescent="0.35">
      <c r="A669">
        <f>VLOOKUP(Attack[[#This Row],[No用]],SetNo[[No.用]:[vlookup 用]],2,FALSE)</f>
        <v>172</v>
      </c>
      <c r="B669">
        <f>IF(ROW()=2,1,IF(A668&lt;&gt;Attack[[#This Row],[No]],1,B668+1))</f>
        <v>1</v>
      </c>
      <c r="C669" t="s">
        <v>108</v>
      </c>
      <c r="D669" s="1" t="s">
        <v>671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168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ユニフォーム理石平介ICONIC</v>
      </c>
    </row>
    <row r="670" spans="1:20" x14ac:dyDescent="0.35">
      <c r="A670">
        <f>VLOOKUP(Attack[[#This Row],[No用]],SetNo[[No.用]:[vlookup 用]],2,FALSE)</f>
        <v>172</v>
      </c>
      <c r="B670">
        <f>IF(ROW()=2,1,IF(A669&lt;&gt;Attack[[#This Row],[No]],1,B669+1))</f>
        <v>2</v>
      </c>
      <c r="C670" t="s">
        <v>108</v>
      </c>
      <c r="D670" s="1" t="s">
        <v>671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ユニフォーム理石平介ICONIC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3</v>
      </c>
      <c r="C671" t="s">
        <v>108</v>
      </c>
      <c r="D671" s="1" t="s">
        <v>671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235</v>
      </c>
      <c r="K671" s="1" t="s">
        <v>271</v>
      </c>
      <c r="L671" s="1" t="s">
        <v>162</v>
      </c>
      <c r="M671">
        <v>35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ユニフォーム理石平介ICONIC</v>
      </c>
    </row>
    <row r="672" spans="1:20" x14ac:dyDescent="0.35">
      <c r="A672">
        <f>VLOOKUP(Attack[[#This Row],[No用]],SetNo[[No.用]:[vlookup 用]],2,FALSE)</f>
        <v>173</v>
      </c>
      <c r="B672" s="14">
        <f>IF(ROW()=2,1,IF(A671&lt;&gt;Attack[[#This Row],[No]],1,B671+1))</f>
        <v>1</v>
      </c>
      <c r="C672" s="1" t="s">
        <v>108</v>
      </c>
      <c r="D672" s="1" t="s">
        <v>1178</v>
      </c>
      <c r="E672" s="1" t="s">
        <v>77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36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ユニフォーム銀島結ICONIC</v>
      </c>
    </row>
    <row r="673" spans="1:20" x14ac:dyDescent="0.35">
      <c r="A673">
        <f>VLOOKUP(Attack[[#This Row],[No用]],SetNo[[No.用]:[vlookup 用]],2,FALSE)</f>
        <v>173</v>
      </c>
      <c r="B673" s="14">
        <f>IF(ROW()=2,1,IF(A672&lt;&gt;Attack[[#This Row],[No]],1,B672+1))</f>
        <v>2</v>
      </c>
      <c r="C673" s="1" t="s">
        <v>108</v>
      </c>
      <c r="D673" s="1" t="s">
        <v>1178</v>
      </c>
      <c r="E673" s="1" t="s">
        <v>77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235</v>
      </c>
      <c r="K673" s="1" t="s">
        <v>169</v>
      </c>
      <c r="L673" s="1" t="s">
        <v>173</v>
      </c>
      <c r="M673">
        <v>36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ユニフォーム銀島結ICONIC</v>
      </c>
    </row>
    <row r="674" spans="1:20" x14ac:dyDescent="0.35">
      <c r="A674">
        <f>VLOOKUP(Attack[[#This Row],[No用]],SetNo[[No.用]:[vlookup 用]],2,FALSE)</f>
        <v>173</v>
      </c>
      <c r="B674" s="14">
        <f>IF(ROW()=2,1,IF(A673&lt;&gt;Attack[[#This Row],[No]],1,B673+1))</f>
        <v>3</v>
      </c>
      <c r="C674" s="1" t="s">
        <v>108</v>
      </c>
      <c r="D674" s="1" t="s">
        <v>1178</v>
      </c>
      <c r="E674" s="1" t="s">
        <v>77</v>
      </c>
      <c r="F674" s="1" t="s">
        <v>78</v>
      </c>
      <c r="G674" s="1" t="s">
        <v>185</v>
      </c>
      <c r="H674" s="1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ユニフォーム銀島結ICONIC</v>
      </c>
    </row>
    <row r="675" spans="1:20" x14ac:dyDescent="0.35">
      <c r="A675">
        <f>VLOOKUP(Attack[[#This Row],[No用]],SetNo[[No.用]:[vlookup 用]],2,FALSE)</f>
        <v>173</v>
      </c>
      <c r="B675" s="14">
        <f>IF(ROW()=2,1,IF(A674&lt;&gt;Attack[[#This Row],[No]],1,B674+1))</f>
        <v>4</v>
      </c>
      <c r="C675" s="1" t="s">
        <v>108</v>
      </c>
      <c r="D675" s="1" t="s">
        <v>1178</v>
      </c>
      <c r="E675" s="1" t="s">
        <v>77</v>
      </c>
      <c r="F675" s="1" t="s">
        <v>78</v>
      </c>
      <c r="G675" s="1" t="s">
        <v>185</v>
      </c>
      <c r="H675" s="1" t="s">
        <v>71</v>
      </c>
      <c r="I675">
        <v>1</v>
      </c>
      <c r="J675" t="s">
        <v>235</v>
      </c>
      <c r="K675" s="1" t="s">
        <v>172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ユニフォーム銀島結ICONIC</v>
      </c>
    </row>
    <row r="676" spans="1:20" x14ac:dyDescent="0.35">
      <c r="A676">
        <f>VLOOKUP(Attack[[#This Row],[No用]],SetNo[[No.用]:[vlookup 用]],2,FALSE)</f>
        <v>173</v>
      </c>
      <c r="B676" s="14">
        <f>IF(ROW()=2,1,IF(A675&lt;&gt;Attack[[#This Row],[No]],1,B675+1))</f>
        <v>5</v>
      </c>
      <c r="C676" s="1" t="s">
        <v>108</v>
      </c>
      <c r="D676" s="1" t="s">
        <v>1178</v>
      </c>
      <c r="E676" s="1" t="s">
        <v>77</v>
      </c>
      <c r="F676" s="1" t="s">
        <v>78</v>
      </c>
      <c r="G676" s="1" t="s">
        <v>185</v>
      </c>
      <c r="H676" s="1" t="s">
        <v>71</v>
      </c>
      <c r="I676">
        <v>1</v>
      </c>
      <c r="J676" t="s">
        <v>235</v>
      </c>
      <c r="K676" s="1" t="s">
        <v>271</v>
      </c>
      <c r="L676" s="1" t="s">
        <v>225</v>
      </c>
      <c r="M676">
        <v>46</v>
      </c>
      <c r="N676">
        <v>0</v>
      </c>
      <c r="O676">
        <v>56</v>
      </c>
      <c r="P676">
        <v>0</v>
      </c>
      <c r="T676" t="str">
        <f>Attack[[#This Row],[服装]]&amp;Attack[[#This Row],[名前]]&amp;Attack[[#This Row],[レアリティ]]</f>
        <v>ユニフォーム銀島結ICONIC</v>
      </c>
    </row>
    <row r="677" spans="1:20" x14ac:dyDescent="0.35">
      <c r="A677">
        <f>VLOOKUP(Attack[[#This Row],[No用]],SetNo[[No.用]:[vlookup 用]],2,FALSE)</f>
        <v>173</v>
      </c>
      <c r="B677" s="14">
        <f>IF(ROW()=2,1,IF(A676&lt;&gt;Attack[[#This Row],[No]],1,B676+1))</f>
        <v>6</v>
      </c>
      <c r="C677" s="1" t="s">
        <v>108</v>
      </c>
      <c r="D677" s="1" t="s">
        <v>1178</v>
      </c>
      <c r="E677" s="1" t="s">
        <v>77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235</v>
      </c>
      <c r="K677" s="1" t="s">
        <v>183</v>
      </c>
      <c r="L677" s="1" t="s">
        <v>225</v>
      </c>
      <c r="M677">
        <v>46</v>
      </c>
      <c r="N677">
        <v>0</v>
      </c>
      <c r="O677">
        <v>56</v>
      </c>
      <c r="P677">
        <v>0</v>
      </c>
      <c r="T677" t="str">
        <f>Attack[[#This Row],[服装]]&amp;Attack[[#This Row],[名前]]&amp;Attack[[#This Row],[レアリティ]]</f>
        <v>ユニフォーム銀島結ICONIC</v>
      </c>
    </row>
    <row r="678" spans="1:20" x14ac:dyDescent="0.35">
      <c r="A678">
        <f>VLOOKUP(Attack[[#This Row],[No用]],SetNo[[No.用]:[vlookup 用]],2,FALSE)</f>
        <v>174</v>
      </c>
      <c r="B678" s="14">
        <f>IF(ROW()=2,1,IF(A677&lt;&gt;Attack[[#This Row],[No]],1,B677+1))</f>
        <v>1</v>
      </c>
      <c r="C678" t="s">
        <v>108</v>
      </c>
      <c r="D678" t="s">
        <v>122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168</v>
      </c>
      <c r="L678" s="1" t="s">
        <v>173</v>
      </c>
      <c r="M678">
        <v>39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ユニフォーム木兎光太郎ICONIC</v>
      </c>
    </row>
    <row r="679" spans="1:20" x14ac:dyDescent="0.35">
      <c r="A679">
        <f>VLOOKUP(Attack[[#This Row],[No用]],SetNo[[No.用]:[vlookup 用]],2,FALSE)</f>
        <v>174</v>
      </c>
      <c r="B679" s="14">
        <f>IF(ROW()=2,1,IF(A678&lt;&gt;Attack[[#This Row],[No]],1,B678+1))</f>
        <v>2</v>
      </c>
      <c r="C679" t="s">
        <v>108</v>
      </c>
      <c r="D679" t="s">
        <v>122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ユニフォーム木兎光太郎ICONIC</v>
      </c>
    </row>
    <row r="680" spans="1:20" x14ac:dyDescent="0.35">
      <c r="A680">
        <f>VLOOKUP(Attack[[#This Row],[No用]],SetNo[[No.用]:[vlookup 用]],2,FALSE)</f>
        <v>174</v>
      </c>
      <c r="B680" s="14">
        <f>IF(ROW()=2,1,IF(A679&lt;&gt;Attack[[#This Row],[No]],1,B679+1))</f>
        <v>3</v>
      </c>
      <c r="C680" t="s">
        <v>108</v>
      </c>
      <c r="D680" t="s">
        <v>122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170</v>
      </c>
      <c r="L680" s="1" t="s">
        <v>173</v>
      </c>
      <c r="M680">
        <v>39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ユニフォーム木兎光太郎ICONIC</v>
      </c>
    </row>
    <row r="681" spans="1:20" x14ac:dyDescent="0.35">
      <c r="A681">
        <f>VLOOKUP(Attack[[#This Row],[No用]],SetNo[[No.用]:[vlookup 用]],2,FALSE)</f>
        <v>174</v>
      </c>
      <c r="B681" s="14">
        <f>IF(ROW()=2,1,IF(A680&lt;&gt;Attack[[#This Row],[No]],1,B680+1))</f>
        <v>4</v>
      </c>
      <c r="C681" t="s">
        <v>108</v>
      </c>
      <c r="D681" t="s">
        <v>122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42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ユニフォーム木兎光太郎ICONIC</v>
      </c>
    </row>
    <row r="682" spans="1:20" x14ac:dyDescent="0.35">
      <c r="A682">
        <f>VLOOKUP(Attack[[#This Row],[No用]],SetNo[[No.用]:[vlookup 用]],2,FALSE)</f>
        <v>174</v>
      </c>
      <c r="B682" s="14">
        <f>IF(ROW()=2,1,IF(A681&lt;&gt;Attack[[#This Row],[No]],1,B681+1))</f>
        <v>5</v>
      </c>
      <c r="C682" t="s">
        <v>108</v>
      </c>
      <c r="D682" t="s">
        <v>122</v>
      </c>
      <c r="E682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171</v>
      </c>
      <c r="L682" s="1" t="s">
        <v>162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ユニフォーム木兎光太郎ICONIC</v>
      </c>
    </row>
    <row r="683" spans="1:20" x14ac:dyDescent="0.35">
      <c r="A683">
        <f>VLOOKUP(Attack[[#This Row],[No用]],SetNo[[No.用]:[vlookup 用]],2,FALSE)</f>
        <v>174</v>
      </c>
      <c r="B683" s="14">
        <f>IF(ROW()=2,1,IF(A682&lt;&gt;Attack[[#This Row],[No]],1,B682+1))</f>
        <v>6</v>
      </c>
      <c r="C683" t="s">
        <v>108</v>
      </c>
      <c r="D683" t="s">
        <v>122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286</v>
      </c>
      <c r="L683" s="1" t="s">
        <v>162</v>
      </c>
      <c r="M683">
        <v>33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ユニフォーム木兎光太郎ICONIC</v>
      </c>
    </row>
    <row r="684" spans="1:20" x14ac:dyDescent="0.35">
      <c r="A684">
        <f>VLOOKUP(Attack[[#This Row],[No用]],SetNo[[No.用]:[vlookup 用]],2,FALSE)</f>
        <v>174</v>
      </c>
      <c r="B684" s="14">
        <f>IF(ROW()=2,1,IF(A683&lt;&gt;Attack[[#This Row],[No]],1,B683+1))</f>
        <v>7</v>
      </c>
      <c r="C684" t="s">
        <v>108</v>
      </c>
      <c r="D684" t="s">
        <v>122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ユニフォーム木兎光太郎ICONIC</v>
      </c>
    </row>
    <row r="685" spans="1:20" x14ac:dyDescent="0.35">
      <c r="A685">
        <f>VLOOKUP(Attack[[#This Row],[No用]],SetNo[[No.用]:[vlookup 用]],2,FALSE)</f>
        <v>174</v>
      </c>
      <c r="B685" s="14">
        <f>IF(ROW()=2,1,IF(A684&lt;&gt;Attack[[#This Row],[No]],1,B684+1))</f>
        <v>8</v>
      </c>
      <c r="C685" t="s">
        <v>108</v>
      </c>
      <c r="D685" t="s">
        <v>122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51</v>
      </c>
      <c r="N685">
        <v>0</v>
      </c>
      <c r="O685">
        <v>61</v>
      </c>
      <c r="P685">
        <v>0</v>
      </c>
      <c r="Q685" s="1" t="s">
        <v>999</v>
      </c>
      <c r="T685" t="str">
        <f>Attack[[#This Row],[服装]]&amp;Attack[[#This Row],[名前]]&amp;Attack[[#This Row],[レアリティ]]</f>
        <v>ユニフォーム木兎光太郎ICONIC</v>
      </c>
    </row>
    <row r="686" spans="1:20" x14ac:dyDescent="0.35">
      <c r="A686">
        <f>VLOOKUP(Attack[[#This Row],[No用]],SetNo[[No.用]:[vlookup 用]],2,FALSE)</f>
        <v>174</v>
      </c>
      <c r="B686" s="14">
        <f>IF(ROW()=2,1,IF(A685&lt;&gt;Attack[[#This Row],[No]],1,B685+1))</f>
        <v>9</v>
      </c>
      <c r="C686" t="s">
        <v>108</v>
      </c>
      <c r="D686" t="s">
        <v>122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183</v>
      </c>
      <c r="L686" s="1" t="s">
        <v>225</v>
      </c>
      <c r="M686">
        <v>51</v>
      </c>
      <c r="N686">
        <v>0</v>
      </c>
      <c r="O686">
        <v>61</v>
      </c>
      <c r="P686">
        <v>0</v>
      </c>
      <c r="T686" t="str">
        <f>Attack[[#This Row],[服装]]&amp;Attack[[#This Row],[名前]]&amp;Attack[[#This Row],[レアリティ]]</f>
        <v>ユニフォーム木兎光太郎ICONIC</v>
      </c>
    </row>
    <row r="687" spans="1:20" x14ac:dyDescent="0.35">
      <c r="A687">
        <f>VLOOKUP(Attack[[#This Row],[No用]],SetNo[[No.用]:[vlookup 用]],2,FALSE)</f>
        <v>175</v>
      </c>
      <c r="B687" s="14">
        <f>IF(ROW()=2,1,IF(A686&lt;&gt;Attack[[#This Row],[No]],1,B686+1))</f>
        <v>1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168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夏祭り木兎光太郎ICONIC</v>
      </c>
    </row>
    <row r="688" spans="1:20" x14ac:dyDescent="0.35">
      <c r="A688">
        <f>VLOOKUP(Attack[[#This Row],[No用]],SetNo[[No.用]:[vlookup 用]],2,FALSE)</f>
        <v>175</v>
      </c>
      <c r="B688" s="14">
        <f>IF(ROW()=2,1,IF(A687&lt;&gt;Attack[[#This Row],[No]],1,B687+1))</f>
        <v>2</v>
      </c>
      <c r="C688" t="s">
        <v>150</v>
      </c>
      <c r="D688" t="s">
        <v>122</v>
      </c>
      <c r="E688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169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夏祭り木兎光太郎ICONIC</v>
      </c>
    </row>
    <row r="689" spans="1:20" x14ac:dyDescent="0.35">
      <c r="A689">
        <f>VLOOKUP(Attack[[#This Row],[No用]],SetNo[[No.用]:[vlookup 用]],2,FALSE)</f>
        <v>175</v>
      </c>
      <c r="B689" s="14">
        <f>IF(ROW()=2,1,IF(A688&lt;&gt;Attack[[#This Row],[No]],1,B688+1))</f>
        <v>3</v>
      </c>
      <c r="C689" t="s">
        <v>150</v>
      </c>
      <c r="D689" t="s">
        <v>122</v>
      </c>
      <c r="E689" t="s">
        <v>77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170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夏祭り木兎光太郎ICONIC</v>
      </c>
    </row>
    <row r="690" spans="1:20" x14ac:dyDescent="0.35">
      <c r="A690">
        <f>VLOOKUP(Attack[[#This Row],[No用]],SetNo[[No.用]:[vlookup 用]],2,FALSE)</f>
        <v>175</v>
      </c>
      <c r="B690" s="14">
        <f>IF(ROW()=2,1,IF(A689&lt;&gt;Attack[[#This Row],[No]],1,B689+1))</f>
        <v>4</v>
      </c>
      <c r="C690" t="s">
        <v>150</v>
      </c>
      <c r="D690" t="s">
        <v>122</v>
      </c>
      <c r="E690" t="s">
        <v>77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271</v>
      </c>
      <c r="L690" s="1" t="s">
        <v>173</v>
      </c>
      <c r="M690">
        <v>42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夏祭り木兎光太郎ICONIC</v>
      </c>
    </row>
    <row r="691" spans="1:20" x14ac:dyDescent="0.35">
      <c r="A691">
        <f>VLOOKUP(Attack[[#This Row],[No用]],SetNo[[No.用]:[vlookup 用]],2,FALSE)</f>
        <v>175</v>
      </c>
      <c r="B691" s="14">
        <f>IF(ROW()=2,1,IF(A690&lt;&gt;Attack[[#This Row],[No]],1,B690+1))</f>
        <v>5</v>
      </c>
      <c r="C691" t="s">
        <v>150</v>
      </c>
      <c r="D691" t="s">
        <v>122</v>
      </c>
      <c r="E691" t="s">
        <v>77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171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夏祭り木兎光太郎ICONIC</v>
      </c>
    </row>
    <row r="692" spans="1:20" x14ac:dyDescent="0.35">
      <c r="A692">
        <f>VLOOKUP(Attack[[#This Row],[No用]],SetNo[[No.用]:[vlookup 用]],2,FALSE)</f>
        <v>175</v>
      </c>
      <c r="B692" s="14">
        <f>IF(ROW()=2,1,IF(A691&lt;&gt;Attack[[#This Row],[No]],1,B691+1))</f>
        <v>6</v>
      </c>
      <c r="C692" t="s">
        <v>150</v>
      </c>
      <c r="D692" t="s">
        <v>122</v>
      </c>
      <c r="E692" t="s">
        <v>77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286</v>
      </c>
      <c r="L692" s="1" t="s">
        <v>162</v>
      </c>
      <c r="M692">
        <v>33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夏祭り木兎光太郎ICONIC</v>
      </c>
    </row>
    <row r="693" spans="1:20" x14ac:dyDescent="0.35">
      <c r="A693">
        <f>VLOOKUP(Attack[[#This Row],[No用]],SetNo[[No.用]:[vlookup 用]],2,FALSE)</f>
        <v>175</v>
      </c>
      <c r="B693" s="14">
        <f>IF(ROW()=2,1,IF(A692&lt;&gt;Attack[[#This Row],[No]],1,B692+1))</f>
        <v>7</v>
      </c>
      <c r="C693" t="s">
        <v>150</v>
      </c>
      <c r="D693" t="s">
        <v>122</v>
      </c>
      <c r="E693" t="s">
        <v>77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172</v>
      </c>
      <c r="L693" s="1" t="s">
        <v>162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夏祭り木兎光太郎ICONIC</v>
      </c>
    </row>
    <row r="694" spans="1:20" x14ac:dyDescent="0.35">
      <c r="A694">
        <f>VLOOKUP(Attack[[#This Row],[No用]],SetNo[[No.用]:[vlookup 用]],2,FALSE)</f>
        <v>175</v>
      </c>
      <c r="B694" s="14">
        <f>IF(ROW()=2,1,IF(A693&lt;&gt;Attack[[#This Row],[No]],1,B693+1))</f>
        <v>8</v>
      </c>
      <c r="C694" t="s">
        <v>150</v>
      </c>
      <c r="D694" t="s">
        <v>122</v>
      </c>
      <c r="E694" t="s">
        <v>77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Q694" s="1" t="s">
        <v>999</v>
      </c>
      <c r="T694" t="str">
        <f>Attack[[#This Row],[服装]]&amp;Attack[[#This Row],[名前]]&amp;Attack[[#This Row],[レアリティ]]</f>
        <v>夏祭り木兎光太郎ICONIC</v>
      </c>
    </row>
    <row r="695" spans="1:20" x14ac:dyDescent="0.35">
      <c r="A695">
        <f>VLOOKUP(Attack[[#This Row],[No用]],SetNo[[No.用]:[vlookup 用]],2,FALSE)</f>
        <v>175</v>
      </c>
      <c r="B695" s="14">
        <f>IF(ROW()=2,1,IF(A694&lt;&gt;Attack[[#This Row],[No]],1,B694+1))</f>
        <v>9</v>
      </c>
      <c r="C695" t="s">
        <v>150</v>
      </c>
      <c r="D695" t="s">
        <v>122</v>
      </c>
      <c r="E695" t="s">
        <v>77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271</v>
      </c>
      <c r="L695" s="1" t="s">
        <v>225</v>
      </c>
      <c r="M695">
        <v>51</v>
      </c>
      <c r="N695">
        <v>0</v>
      </c>
      <c r="O695">
        <v>61</v>
      </c>
      <c r="P695">
        <v>0</v>
      </c>
      <c r="T695" t="str">
        <f>Attack[[#This Row],[服装]]&amp;Attack[[#This Row],[名前]]&amp;Attack[[#This Row],[レアリティ]]</f>
        <v>夏祭り木兎光太郎ICONIC</v>
      </c>
    </row>
    <row r="696" spans="1:20" x14ac:dyDescent="0.35">
      <c r="A696">
        <f>VLOOKUP(Attack[[#This Row],[No用]],SetNo[[No.用]:[vlookup 用]],2,FALSE)</f>
        <v>176</v>
      </c>
      <c r="B696" s="14">
        <f>IF(ROW()=2,1,IF(A695&lt;&gt;Attack[[#This Row],[No]],1,B695+1))</f>
        <v>1</v>
      </c>
      <c r="C696" s="1" t="s">
        <v>915</v>
      </c>
      <c r="D696" t="s">
        <v>122</v>
      </c>
      <c r="E696" s="1" t="s">
        <v>73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Xmas木兎光太郎ICONIC</v>
      </c>
    </row>
    <row r="697" spans="1:20" x14ac:dyDescent="0.35">
      <c r="A697">
        <f>VLOOKUP(Attack[[#This Row],[No用]],SetNo[[No.用]:[vlookup 用]],2,FALSE)</f>
        <v>176</v>
      </c>
      <c r="B697" s="14">
        <f>IF(ROW()=2,1,IF(A696&lt;&gt;Attack[[#This Row],[No]],1,B696+1))</f>
        <v>2</v>
      </c>
      <c r="C697" s="1" t="s">
        <v>915</v>
      </c>
      <c r="D697" t="s">
        <v>122</v>
      </c>
      <c r="E697" s="1" t="s">
        <v>73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169</v>
      </c>
      <c r="L697" s="1" t="s">
        <v>178</v>
      </c>
      <c r="M697">
        <v>37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Xmas木兎光太郎ICONIC</v>
      </c>
    </row>
    <row r="698" spans="1:20" x14ac:dyDescent="0.35">
      <c r="A698">
        <f>VLOOKUP(Attack[[#This Row],[No用]],SetNo[[No.用]:[vlookup 用]],2,FALSE)</f>
        <v>176</v>
      </c>
      <c r="B698" s="14">
        <f>IF(ROW()=2,1,IF(A697&lt;&gt;Attack[[#This Row],[No]],1,B697+1))</f>
        <v>3</v>
      </c>
      <c r="C698" s="1" t="s">
        <v>915</v>
      </c>
      <c r="D698" t="s">
        <v>122</v>
      </c>
      <c r="E698" s="1" t="s">
        <v>73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170</v>
      </c>
      <c r="L698" s="1" t="s">
        <v>173</v>
      </c>
      <c r="M698">
        <v>39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Xmas木兎光太郎ICONIC</v>
      </c>
    </row>
    <row r="699" spans="1:20" x14ac:dyDescent="0.35">
      <c r="A699">
        <f>VLOOKUP(Attack[[#This Row],[No用]],SetNo[[No.用]:[vlookup 用]],2,FALSE)</f>
        <v>176</v>
      </c>
      <c r="B699" s="14">
        <f>IF(ROW()=2,1,IF(A698&lt;&gt;Attack[[#This Row],[No]],1,B698+1))</f>
        <v>4</v>
      </c>
      <c r="C699" s="1" t="s">
        <v>915</v>
      </c>
      <c r="D699" t="s">
        <v>122</v>
      </c>
      <c r="E699" s="1" t="s">
        <v>73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42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Xmas木兎光太郎ICONIC</v>
      </c>
    </row>
    <row r="700" spans="1:20" x14ac:dyDescent="0.35">
      <c r="A700">
        <f>VLOOKUP(Attack[[#This Row],[No用]],SetNo[[No.用]:[vlookup 用]],2,FALSE)</f>
        <v>176</v>
      </c>
      <c r="B700" s="14">
        <f>IF(ROW()=2,1,IF(A699&lt;&gt;Attack[[#This Row],[No]],1,B699+1))</f>
        <v>5</v>
      </c>
      <c r="C700" s="1" t="s">
        <v>915</v>
      </c>
      <c r="D700" t="s">
        <v>122</v>
      </c>
      <c r="E700" s="1" t="s">
        <v>73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171</v>
      </c>
      <c r="L700" s="1" t="s">
        <v>178</v>
      </c>
      <c r="M700">
        <v>37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Xmas木兎光太郎ICONIC</v>
      </c>
    </row>
    <row r="701" spans="1:20" x14ac:dyDescent="0.35">
      <c r="A701">
        <f>VLOOKUP(Attack[[#This Row],[No用]],SetNo[[No.用]:[vlookup 用]],2,FALSE)</f>
        <v>176</v>
      </c>
      <c r="B701" s="14">
        <f>IF(ROW()=2,1,IF(A700&lt;&gt;Attack[[#This Row],[No]],1,B700+1))</f>
        <v>6</v>
      </c>
      <c r="C701" s="1" t="s">
        <v>915</v>
      </c>
      <c r="D701" t="s">
        <v>122</v>
      </c>
      <c r="E701" s="1" t="s">
        <v>73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286</v>
      </c>
      <c r="L701" s="1" t="s">
        <v>178</v>
      </c>
      <c r="M701">
        <v>37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Xmas木兎光太郎ICONIC</v>
      </c>
    </row>
    <row r="702" spans="1:20" x14ac:dyDescent="0.35">
      <c r="A702">
        <f>VLOOKUP(Attack[[#This Row],[No用]],SetNo[[No.用]:[vlookup 用]],2,FALSE)</f>
        <v>176</v>
      </c>
      <c r="B702" s="14">
        <f>IF(ROW()=2,1,IF(A701&lt;&gt;Attack[[#This Row],[No]],1,B701+1))</f>
        <v>7</v>
      </c>
      <c r="C702" s="1" t="s">
        <v>915</v>
      </c>
      <c r="D702" t="s">
        <v>122</v>
      </c>
      <c r="E702" s="1" t="s">
        <v>73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172</v>
      </c>
      <c r="L702" s="1" t="s">
        <v>178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Xmas木兎光太郎ICONIC</v>
      </c>
    </row>
    <row r="703" spans="1:20" x14ac:dyDescent="0.35">
      <c r="A703">
        <f>VLOOKUP(Attack[[#This Row],[No用]],SetNo[[No.用]:[vlookup 用]],2,FALSE)</f>
        <v>176</v>
      </c>
      <c r="B703" s="14">
        <f>IF(ROW()=2,1,IF(A702&lt;&gt;Attack[[#This Row],[No]],1,B702+1))</f>
        <v>8</v>
      </c>
      <c r="C703" s="1" t="s">
        <v>915</v>
      </c>
      <c r="D703" t="s">
        <v>122</v>
      </c>
      <c r="E703" s="1" t="s">
        <v>73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171</v>
      </c>
      <c r="L703" s="1" t="s">
        <v>225</v>
      </c>
      <c r="M703">
        <v>51</v>
      </c>
      <c r="N703">
        <v>0</v>
      </c>
      <c r="O703">
        <v>61</v>
      </c>
      <c r="P703">
        <v>0</v>
      </c>
      <c r="T703" t="str">
        <f>Attack[[#This Row],[服装]]&amp;Attack[[#This Row],[名前]]&amp;Attack[[#This Row],[レアリティ]]</f>
        <v>Xmas木兎光太郎ICONIC</v>
      </c>
    </row>
    <row r="704" spans="1:20" x14ac:dyDescent="0.35">
      <c r="A704">
        <f>VLOOKUP(Attack[[#This Row],[No用]],SetNo[[No.用]:[vlookup 用]],2,FALSE)</f>
        <v>176</v>
      </c>
      <c r="B704" s="14">
        <f>IF(ROW()=2,1,IF(A703&lt;&gt;Attack[[#This Row],[No]],1,B703+1))</f>
        <v>9</v>
      </c>
      <c r="C704" s="1" t="s">
        <v>915</v>
      </c>
      <c r="D704" t="s">
        <v>122</v>
      </c>
      <c r="E704" s="1" t="s">
        <v>73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286</v>
      </c>
      <c r="L704" s="1" t="s">
        <v>225</v>
      </c>
      <c r="M704">
        <v>51</v>
      </c>
      <c r="N704">
        <v>0</v>
      </c>
      <c r="O704">
        <v>61</v>
      </c>
      <c r="P704">
        <v>0</v>
      </c>
      <c r="T704" t="str">
        <f>Attack[[#This Row],[服装]]&amp;Attack[[#This Row],[名前]]&amp;Attack[[#This Row],[レアリティ]]</f>
        <v>Xmas木兎光太郎ICONIC</v>
      </c>
    </row>
    <row r="705" spans="1:20" x14ac:dyDescent="0.35">
      <c r="A705">
        <f>VLOOKUP(Attack[[#This Row],[No用]],SetNo[[No.用]:[vlookup 用]],2,FALSE)</f>
        <v>177</v>
      </c>
      <c r="B705" s="14">
        <f>IF(ROW()=2,1,IF(A704&lt;&gt;Attack[[#This Row],[No]],1,B704+1))</f>
        <v>1</v>
      </c>
      <c r="C705" s="1" t="s">
        <v>149</v>
      </c>
      <c r="D705" t="s">
        <v>122</v>
      </c>
      <c r="E705" s="1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168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制服木兎光太郎ICONIC</v>
      </c>
    </row>
    <row r="706" spans="1:20" x14ac:dyDescent="0.35">
      <c r="A706">
        <f>VLOOKUP(Attack[[#This Row],[No用]],SetNo[[No.用]:[vlookup 用]],2,FALSE)</f>
        <v>177</v>
      </c>
      <c r="B706" s="14">
        <f>IF(ROW()=2,1,IF(A705&lt;&gt;Attack[[#This Row],[No]],1,B705+1))</f>
        <v>2</v>
      </c>
      <c r="C706" s="1" t="s">
        <v>149</v>
      </c>
      <c r="D706" t="s">
        <v>122</v>
      </c>
      <c r="E706" s="1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制服木兎光太郎ICONIC</v>
      </c>
    </row>
    <row r="707" spans="1:20" x14ac:dyDescent="0.35">
      <c r="A707">
        <f>VLOOKUP(Attack[[#This Row],[No用]],SetNo[[No.用]:[vlookup 用]],2,FALSE)</f>
        <v>177</v>
      </c>
      <c r="B707" s="14">
        <f>IF(ROW()=2,1,IF(A706&lt;&gt;Attack[[#This Row],[No]],1,B706+1))</f>
        <v>3</v>
      </c>
      <c r="C707" s="1" t="s">
        <v>149</v>
      </c>
      <c r="D707" t="s">
        <v>122</v>
      </c>
      <c r="E707" s="1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170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制服木兎光太郎ICONIC</v>
      </c>
    </row>
    <row r="708" spans="1:20" x14ac:dyDescent="0.35">
      <c r="A708">
        <f>VLOOKUP(Attack[[#This Row],[No用]],SetNo[[No.用]:[vlookup 用]],2,FALSE)</f>
        <v>177</v>
      </c>
      <c r="B708" s="14">
        <f>IF(ROW()=2,1,IF(A707&lt;&gt;Attack[[#This Row],[No]],1,B707+1))</f>
        <v>4</v>
      </c>
      <c r="C708" s="1" t="s">
        <v>149</v>
      </c>
      <c r="D708" t="s">
        <v>122</v>
      </c>
      <c r="E708" s="1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制服木兎光太郎ICONIC</v>
      </c>
    </row>
    <row r="709" spans="1:20" x14ac:dyDescent="0.35">
      <c r="A709">
        <f>VLOOKUP(Attack[[#This Row],[No用]],SetNo[[No.用]:[vlookup 用]],2,FALSE)</f>
        <v>177</v>
      </c>
      <c r="B709" s="14">
        <f>IF(ROW()=2,1,IF(A708&lt;&gt;Attack[[#This Row],[No]],1,B708+1))</f>
        <v>5</v>
      </c>
      <c r="C709" s="1" t="s">
        <v>149</v>
      </c>
      <c r="D709" t="s">
        <v>122</v>
      </c>
      <c r="E709" s="1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171</v>
      </c>
      <c r="L709" s="1" t="s">
        <v>178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制服木兎光太郎ICONIC</v>
      </c>
    </row>
    <row r="710" spans="1:20" x14ac:dyDescent="0.35">
      <c r="A710">
        <f>VLOOKUP(Attack[[#This Row],[No用]],SetNo[[No.用]:[vlookup 用]],2,FALSE)</f>
        <v>177</v>
      </c>
      <c r="B710" s="14">
        <f>IF(ROW()=2,1,IF(A709&lt;&gt;Attack[[#This Row],[No]],1,B709+1))</f>
        <v>6</v>
      </c>
      <c r="C710" s="1" t="s">
        <v>149</v>
      </c>
      <c r="D710" t="s">
        <v>122</v>
      </c>
      <c r="E710" s="1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286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制服木兎光太郎ICONIC</v>
      </c>
    </row>
    <row r="711" spans="1:20" x14ac:dyDescent="0.35">
      <c r="A711">
        <f>VLOOKUP(Attack[[#This Row],[No用]],SetNo[[No.用]:[vlookup 用]],2,FALSE)</f>
        <v>177</v>
      </c>
      <c r="B711" s="14">
        <f>IF(ROW()=2,1,IF(A710&lt;&gt;Attack[[#This Row],[No]],1,B710+1))</f>
        <v>7</v>
      </c>
      <c r="C711" s="1" t="s">
        <v>149</v>
      </c>
      <c r="D711" t="s">
        <v>122</v>
      </c>
      <c r="E711" s="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制服木兎光太郎ICONIC</v>
      </c>
    </row>
    <row r="712" spans="1:20" x14ac:dyDescent="0.35">
      <c r="A712">
        <f>VLOOKUP(Attack[[#This Row],[No用]],SetNo[[No.用]:[vlookup 用]],2,FALSE)</f>
        <v>177</v>
      </c>
      <c r="B712" s="14">
        <f>IF(ROW()=2,1,IF(A711&lt;&gt;Attack[[#This Row],[No]],1,B711+1))</f>
        <v>8</v>
      </c>
      <c r="C712" s="1" t="s">
        <v>149</v>
      </c>
      <c r="D712" t="s">
        <v>122</v>
      </c>
      <c r="E712" s="1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T712" t="str">
        <f>Attack[[#This Row],[服装]]&amp;Attack[[#This Row],[名前]]&amp;Attack[[#This Row],[レアリティ]]</f>
        <v>制服木兎光太郎ICONIC</v>
      </c>
    </row>
    <row r="713" spans="1:20" x14ac:dyDescent="0.35">
      <c r="A713">
        <f>VLOOKUP(Attack[[#This Row],[No用]],SetNo[[No.用]:[vlookup 用]],2,FALSE)</f>
        <v>177</v>
      </c>
      <c r="B713" s="14">
        <f>IF(ROW()=2,1,IF(A712&lt;&gt;Attack[[#This Row],[No]],1,B712+1))</f>
        <v>9</v>
      </c>
      <c r="C713" s="1" t="s">
        <v>149</v>
      </c>
      <c r="D713" t="s">
        <v>122</v>
      </c>
      <c r="E713" s="1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271</v>
      </c>
      <c r="L713" s="1" t="s">
        <v>225</v>
      </c>
      <c r="M713">
        <v>51</v>
      </c>
      <c r="N713">
        <v>0</v>
      </c>
      <c r="O713">
        <v>61</v>
      </c>
      <c r="P713">
        <v>0</v>
      </c>
      <c r="Q713" s="1" t="s">
        <v>999</v>
      </c>
      <c r="T713" t="str">
        <f>Attack[[#This Row],[服装]]&amp;Attack[[#This Row],[名前]]&amp;Attack[[#This Row],[レアリティ]]</f>
        <v>制服木兎光太郎ICONIC</v>
      </c>
    </row>
    <row r="714" spans="1:20" x14ac:dyDescent="0.35">
      <c r="A714">
        <f>VLOOKUP(Attack[[#This Row],[No用]],SetNo[[No.用]:[vlookup 用]],2,FALSE)</f>
        <v>178</v>
      </c>
      <c r="B714" s="14">
        <f>IF(ROW()=2,1,IF(A713&lt;&gt;Attack[[#This Row],[No]],1,B713+1))</f>
        <v>1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168</v>
      </c>
      <c r="L714" s="1" t="s">
        <v>173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ユニフォーム木葉秋紀ICONIC</v>
      </c>
    </row>
    <row r="715" spans="1:20" x14ac:dyDescent="0.35">
      <c r="A715">
        <f>VLOOKUP(Attack[[#This Row],[No用]],SetNo[[No.用]:[vlookup 用]],2,FALSE)</f>
        <v>178</v>
      </c>
      <c r="B715" s="14">
        <f>IF(ROW()=2,1,IF(A714&lt;&gt;Attack[[#This Row],[No]],1,B714+1))</f>
        <v>2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169</v>
      </c>
      <c r="L715" s="1" t="s">
        <v>178</v>
      </c>
      <c r="M715">
        <v>30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ユニフォーム木葉秋紀ICONIC</v>
      </c>
    </row>
    <row r="716" spans="1:20" x14ac:dyDescent="0.35">
      <c r="A716">
        <f>VLOOKUP(Attack[[#This Row],[No用]],SetNo[[No.用]:[vlookup 用]],2,FALSE)</f>
        <v>178</v>
      </c>
      <c r="B716" s="14">
        <f>IF(ROW()=2,1,IF(A715&lt;&gt;Attack[[#This Row],[No]],1,B715+1))</f>
        <v>3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171</v>
      </c>
      <c r="L716" s="1" t="s">
        <v>173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ユニフォーム木葉秋紀ICONIC</v>
      </c>
    </row>
    <row r="717" spans="1:20" x14ac:dyDescent="0.35">
      <c r="A717">
        <f>VLOOKUP(Attack[[#This Row],[No用]],SetNo[[No.用]:[vlookup 用]],2,FALSE)</f>
        <v>178</v>
      </c>
      <c r="B717" s="14">
        <f>IF(ROW()=2,1,IF(A716&lt;&gt;Attack[[#This Row],[No]],1,B716+1))</f>
        <v>4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183</v>
      </c>
      <c r="L717" s="1" t="s">
        <v>225</v>
      </c>
      <c r="M717">
        <v>49</v>
      </c>
      <c r="N717">
        <v>0</v>
      </c>
      <c r="O717">
        <v>59</v>
      </c>
      <c r="P717">
        <v>0</v>
      </c>
      <c r="T717" t="str">
        <f>Attack[[#This Row],[服装]]&amp;Attack[[#This Row],[名前]]&amp;Attack[[#This Row],[レアリティ]]</f>
        <v>ユニフォーム木葉秋紀ICONIC</v>
      </c>
    </row>
    <row r="718" spans="1:20" x14ac:dyDescent="0.35">
      <c r="A718">
        <f>VLOOKUP(Attack[[#This Row],[No用]],SetNo[[No.用]:[vlookup 用]],2,FALSE)</f>
        <v>179</v>
      </c>
      <c r="B718" s="14">
        <f>IF(ROW()=2,1,IF(A717&lt;&gt;Attack[[#This Row],[No]],1,B717+1))</f>
        <v>1</v>
      </c>
      <c r="C718" s="1" t="s">
        <v>386</v>
      </c>
      <c r="D718" t="s">
        <v>123</v>
      </c>
      <c r="E718" s="1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168</v>
      </c>
      <c r="L718" s="1" t="s">
        <v>173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探偵木葉秋紀ICONIC</v>
      </c>
    </row>
    <row r="719" spans="1:20" x14ac:dyDescent="0.35">
      <c r="A719">
        <f>VLOOKUP(Attack[[#This Row],[No用]],SetNo[[No.用]:[vlookup 用]],2,FALSE)</f>
        <v>179</v>
      </c>
      <c r="B719" s="14">
        <f>IF(ROW()=2,1,IF(A718&lt;&gt;Attack[[#This Row],[No]],1,B718+1))</f>
        <v>2</v>
      </c>
      <c r="C719" s="1" t="s">
        <v>386</v>
      </c>
      <c r="D719" t="s">
        <v>123</v>
      </c>
      <c r="E719" s="1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169</v>
      </c>
      <c r="L719" s="1" t="s">
        <v>178</v>
      </c>
      <c r="M719">
        <v>31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探偵木葉秋紀ICONIC</v>
      </c>
    </row>
    <row r="720" spans="1:20" x14ac:dyDescent="0.35">
      <c r="A720">
        <f>VLOOKUP(Attack[[#This Row],[No用]],SetNo[[No.用]:[vlookup 用]],2,FALSE)</f>
        <v>179</v>
      </c>
      <c r="B720" s="14">
        <f>IF(ROW()=2,1,IF(A719&lt;&gt;Attack[[#This Row],[No]],1,B719+1))</f>
        <v>3</v>
      </c>
      <c r="C720" s="1" t="s">
        <v>386</v>
      </c>
      <c r="D720" t="s">
        <v>123</v>
      </c>
      <c r="E720" s="1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403</v>
      </c>
      <c r="K720" s="1" t="s">
        <v>171</v>
      </c>
      <c r="L720" s="1" t="s">
        <v>173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探偵木葉秋紀ICONIC</v>
      </c>
    </row>
    <row r="721" spans="1:20" x14ac:dyDescent="0.35">
      <c r="A721">
        <f>VLOOKUP(Attack[[#This Row],[No用]],SetNo[[No.用]:[vlookup 用]],2,FALSE)</f>
        <v>179</v>
      </c>
      <c r="B721" s="14">
        <f>IF(ROW()=2,1,IF(A720&lt;&gt;Attack[[#This Row],[No]],1,B720+1))</f>
        <v>4</v>
      </c>
      <c r="C721" s="1" t="s">
        <v>386</v>
      </c>
      <c r="D721" t="s">
        <v>123</v>
      </c>
      <c r="E721" s="1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403</v>
      </c>
      <c r="K721" s="1" t="s">
        <v>172</v>
      </c>
      <c r="L721" s="1" t="s">
        <v>178</v>
      </c>
      <c r="M721">
        <v>31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探偵木葉秋紀ICONIC</v>
      </c>
    </row>
    <row r="722" spans="1:20" x14ac:dyDescent="0.35">
      <c r="A722">
        <f>VLOOKUP(Attack[[#This Row],[No用]],SetNo[[No.用]:[vlookup 用]],2,FALSE)</f>
        <v>179</v>
      </c>
      <c r="B722" s="14">
        <f>IF(ROW()=2,1,IF(A721&lt;&gt;Attack[[#This Row],[No]],1,B721+1))</f>
        <v>5</v>
      </c>
      <c r="C722" s="1" t="s">
        <v>386</v>
      </c>
      <c r="D722" t="s">
        <v>123</v>
      </c>
      <c r="E722" s="1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183</v>
      </c>
      <c r="L722" s="1" t="s">
        <v>225</v>
      </c>
      <c r="M722">
        <v>49</v>
      </c>
      <c r="N722">
        <v>0</v>
      </c>
      <c r="O722">
        <v>59</v>
      </c>
      <c r="P722">
        <v>0</v>
      </c>
      <c r="T722" t="str">
        <f>Attack[[#This Row],[服装]]&amp;Attack[[#This Row],[名前]]&amp;Attack[[#This Row],[レアリティ]]</f>
        <v>探偵木葉秋紀ICONIC</v>
      </c>
    </row>
    <row r="723" spans="1:20" x14ac:dyDescent="0.35">
      <c r="A723">
        <f>VLOOKUP(Attack[[#This Row],[No用]],SetNo[[No.用]:[vlookup 用]],2,FALSE)</f>
        <v>180</v>
      </c>
      <c r="B723" s="14">
        <f>IF(ROW()=2,1,IF(A722&lt;&gt;Attack[[#This Row],[No]],1,B722+1))</f>
        <v>1</v>
      </c>
      <c r="C723" t="s">
        <v>108</v>
      </c>
      <c r="D723" t="s">
        <v>124</v>
      </c>
      <c r="E723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35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ユニフォーム猿杙大和ICONIC</v>
      </c>
    </row>
    <row r="724" spans="1:20" x14ac:dyDescent="0.35">
      <c r="A724">
        <f>VLOOKUP(Attack[[#This Row],[No用]],SetNo[[No.用]:[vlookup 用]],2,FALSE)</f>
        <v>180</v>
      </c>
      <c r="B724" s="14">
        <f>IF(ROW()=2,1,IF(A723&lt;&gt;Attack[[#This Row],[No]],1,B723+1))</f>
        <v>2</v>
      </c>
      <c r="C724" t="s">
        <v>108</v>
      </c>
      <c r="D724" t="s">
        <v>124</v>
      </c>
      <c r="E724" t="s">
        <v>90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169</v>
      </c>
      <c r="L724" s="1" t="s">
        <v>173</v>
      </c>
      <c r="M724">
        <v>38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ユニフォーム猿杙大和ICONIC</v>
      </c>
    </row>
    <row r="725" spans="1:20" x14ac:dyDescent="0.35">
      <c r="A725">
        <f>VLOOKUP(Attack[[#This Row],[No用]],SetNo[[No.用]:[vlookup 用]],2,FALSE)</f>
        <v>180</v>
      </c>
      <c r="B725" s="14">
        <f>IF(ROW()=2,1,IF(A724&lt;&gt;Attack[[#This Row],[No]],1,B724+1))</f>
        <v>3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171</v>
      </c>
      <c r="L725" s="1" t="s">
        <v>173</v>
      </c>
      <c r="M725">
        <v>38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ユニフォーム猿杙大和ICONIC</v>
      </c>
    </row>
    <row r="726" spans="1:20" x14ac:dyDescent="0.35">
      <c r="A726">
        <f>VLOOKUP(Attack[[#This Row],[No用]],SetNo[[No.用]:[vlookup 用]],2,FALSE)</f>
        <v>180</v>
      </c>
      <c r="B726" s="14">
        <f>IF(ROW()=2,1,IF(A725&lt;&gt;Attack[[#This Row],[No]],1,B725+1))</f>
        <v>4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172</v>
      </c>
      <c r="L726" s="1" t="s">
        <v>162</v>
      </c>
      <c r="M726">
        <v>32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ユニフォーム猿杙大和ICONIC</v>
      </c>
    </row>
    <row r="727" spans="1:20" x14ac:dyDescent="0.35">
      <c r="A727">
        <f>VLOOKUP(Attack[[#This Row],[No用]],SetNo[[No.用]:[vlookup 用]],2,FALSE)</f>
        <v>180</v>
      </c>
      <c r="B727" s="14">
        <f>IF(ROW()=2,1,IF(A726&lt;&gt;Attack[[#This Row],[No]],1,B726+1))</f>
        <v>5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183</v>
      </c>
      <c r="L727" s="1" t="s">
        <v>225</v>
      </c>
      <c r="M727">
        <v>47</v>
      </c>
      <c r="N727">
        <v>0</v>
      </c>
      <c r="O727">
        <v>57</v>
      </c>
      <c r="P727">
        <v>0</v>
      </c>
      <c r="T727" t="str">
        <f>Attack[[#This Row],[服装]]&amp;Attack[[#This Row],[名前]]&amp;Attack[[#This Row],[レアリティ]]</f>
        <v>ユニフォーム猿杙大和ICONIC</v>
      </c>
    </row>
    <row r="728" spans="1:20" x14ac:dyDescent="0.35">
      <c r="A728">
        <f>VLOOKUP(Attack[[#This Row],[No用]],SetNo[[No.用]:[vlookup 用]],2,FALSE)</f>
        <v>181</v>
      </c>
      <c r="B728" s="14">
        <f>IF(ROW()=2,1,IF(A727&lt;&gt;Attack[[#This Row],[No]],1,B727+1))</f>
        <v>1</v>
      </c>
      <c r="C728" t="s">
        <v>108</v>
      </c>
      <c r="D728" t="s">
        <v>125</v>
      </c>
      <c r="E728" t="s">
        <v>90</v>
      </c>
      <c r="F728" t="s">
        <v>80</v>
      </c>
      <c r="G728" t="s">
        <v>128</v>
      </c>
      <c r="H728" t="s">
        <v>71</v>
      </c>
      <c r="I728">
        <v>1</v>
      </c>
      <c r="J728" t="s">
        <v>235</v>
      </c>
      <c r="M728">
        <v>0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ユニフォーム小見春樹ICONIC</v>
      </c>
    </row>
    <row r="729" spans="1:20" x14ac:dyDescent="0.35">
      <c r="A729">
        <f>VLOOKUP(Attack[[#This Row],[No用]],SetNo[[No.用]:[vlookup 用]],2,FALSE)</f>
        <v>182</v>
      </c>
      <c r="B729" s="14">
        <f>IF(ROW()=2,1,IF(A728&lt;&gt;Attack[[#This Row],[No]],1,B728+1))</f>
        <v>1</v>
      </c>
      <c r="C729" t="s">
        <v>108</v>
      </c>
      <c r="D729" t="s">
        <v>126</v>
      </c>
      <c r="E729" t="s">
        <v>90</v>
      </c>
      <c r="F729" t="s">
        <v>82</v>
      </c>
      <c r="G729" t="s">
        <v>128</v>
      </c>
      <c r="H729" t="s">
        <v>71</v>
      </c>
      <c r="I729">
        <v>1</v>
      </c>
      <c r="J729" t="s">
        <v>235</v>
      </c>
      <c r="K729" s="1" t="s">
        <v>168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ユニフォーム尾長渉ICONIC</v>
      </c>
    </row>
    <row r="730" spans="1:20" x14ac:dyDescent="0.35">
      <c r="A730">
        <f>VLOOKUP(Attack[[#This Row],[No用]],SetNo[[No.用]:[vlookup 用]],2,FALSE)</f>
        <v>182</v>
      </c>
      <c r="B730" s="14">
        <f>IF(ROW()=2,1,IF(A729&lt;&gt;Attack[[#This Row],[No]],1,B729+1))</f>
        <v>2</v>
      </c>
      <c r="C730" t="s">
        <v>108</v>
      </c>
      <c r="D730" t="s">
        <v>126</v>
      </c>
      <c r="E730" t="s">
        <v>90</v>
      </c>
      <c r="F730" t="s">
        <v>82</v>
      </c>
      <c r="G730" t="s">
        <v>128</v>
      </c>
      <c r="H730" t="s">
        <v>71</v>
      </c>
      <c r="I730">
        <v>1</v>
      </c>
      <c r="J730" t="s">
        <v>235</v>
      </c>
      <c r="K730" s="1" t="s">
        <v>169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ユニフォーム尾長渉ICONIC</v>
      </c>
    </row>
    <row r="731" spans="1:20" x14ac:dyDescent="0.35">
      <c r="A731">
        <f>VLOOKUP(Attack[[#This Row],[No用]],SetNo[[No.用]:[vlookup 用]],2,FALSE)</f>
        <v>183</v>
      </c>
      <c r="B731" s="14">
        <f>IF(ROW()=2,1,IF(A730&lt;&gt;Attack[[#This Row],[No]],1,B730+1))</f>
        <v>1</v>
      </c>
      <c r="C731" t="s">
        <v>108</v>
      </c>
      <c r="D731" t="s">
        <v>127</v>
      </c>
      <c r="E731" t="s">
        <v>90</v>
      </c>
      <c r="F731" t="s">
        <v>82</v>
      </c>
      <c r="G731" t="s">
        <v>128</v>
      </c>
      <c r="H73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30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ユニフォーム鷲尾辰生ICONIC</v>
      </c>
    </row>
    <row r="732" spans="1:20" x14ac:dyDescent="0.35">
      <c r="A732">
        <f>VLOOKUP(Attack[[#This Row],[No用]],SetNo[[No.用]:[vlookup 用]],2,FALSE)</f>
        <v>183</v>
      </c>
      <c r="B732" s="14">
        <f>IF(ROW()=2,1,IF(A731&lt;&gt;Attack[[#This Row],[No]],1,B731+1))</f>
        <v>2</v>
      </c>
      <c r="C732" t="s">
        <v>108</v>
      </c>
      <c r="D732" t="s">
        <v>127</v>
      </c>
      <c r="E732" t="s">
        <v>90</v>
      </c>
      <c r="F732" t="s">
        <v>82</v>
      </c>
      <c r="G732" t="s">
        <v>128</v>
      </c>
      <c r="H732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30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ユニフォーム鷲尾辰生ICONIC</v>
      </c>
    </row>
    <row r="733" spans="1:20" x14ac:dyDescent="0.35">
      <c r="A733">
        <f>VLOOKUP(Attack[[#This Row],[No用]],SetNo[[No.用]:[vlookup 用]],2,FALSE)</f>
        <v>183</v>
      </c>
      <c r="B733" s="14">
        <f>IF(ROW()=2,1,IF(A732&lt;&gt;Attack[[#This Row],[No]],1,B732+1))</f>
        <v>3</v>
      </c>
      <c r="C733" t="s">
        <v>108</v>
      </c>
      <c r="D733" t="s">
        <v>127</v>
      </c>
      <c r="E733" t="s">
        <v>90</v>
      </c>
      <c r="F733" t="s">
        <v>82</v>
      </c>
      <c r="G733" t="s">
        <v>128</v>
      </c>
      <c r="H733" t="s">
        <v>71</v>
      </c>
      <c r="I733">
        <v>1</v>
      </c>
      <c r="J733" t="s">
        <v>235</v>
      </c>
      <c r="K733" s="1" t="s">
        <v>172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ユニフォーム鷲尾辰生ICONIC</v>
      </c>
    </row>
    <row r="734" spans="1:20" x14ac:dyDescent="0.35">
      <c r="A734">
        <f>VLOOKUP(Attack[[#This Row],[No用]],SetNo[[No.用]:[vlookup 用]],2,FALSE)</f>
        <v>184</v>
      </c>
      <c r="B734" s="14">
        <f>IF(ROW()=2,1,IF(A733&lt;&gt;Attack[[#This Row],[No]],1,B733+1))</f>
        <v>1</v>
      </c>
      <c r="C734" t="s">
        <v>108</v>
      </c>
      <c r="D734" t="s">
        <v>129</v>
      </c>
      <c r="E734" t="s">
        <v>73</v>
      </c>
      <c r="F734" t="s">
        <v>74</v>
      </c>
      <c r="G734" t="s">
        <v>128</v>
      </c>
      <c r="H734" t="s">
        <v>71</v>
      </c>
      <c r="I734">
        <v>1</v>
      </c>
      <c r="J734" t="s">
        <v>235</v>
      </c>
      <c r="K734" s="1" t="s">
        <v>168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ユニフォーム赤葦京治ICONIC</v>
      </c>
    </row>
    <row r="735" spans="1:20" x14ac:dyDescent="0.35">
      <c r="A735">
        <f>VLOOKUP(Attack[[#This Row],[No用]],SetNo[[No.用]:[vlookup 用]],2,FALSE)</f>
        <v>184</v>
      </c>
      <c r="B735" s="14">
        <f>IF(ROW()=2,1,IF(A734&lt;&gt;Attack[[#This Row],[No]],1,B734+1))</f>
        <v>2</v>
      </c>
      <c r="C735" t="s">
        <v>108</v>
      </c>
      <c r="D735" t="s">
        <v>129</v>
      </c>
      <c r="E735" t="s">
        <v>73</v>
      </c>
      <c r="F735" t="s">
        <v>74</v>
      </c>
      <c r="G735" t="s">
        <v>128</v>
      </c>
      <c r="H735" t="s">
        <v>71</v>
      </c>
      <c r="I735">
        <v>1</v>
      </c>
      <c r="J735" t="s">
        <v>235</v>
      </c>
      <c r="K735" s="1" t="s">
        <v>169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ユニフォーム赤葦京治ICONIC</v>
      </c>
    </row>
    <row r="736" spans="1:20" x14ac:dyDescent="0.35">
      <c r="A736">
        <f>VLOOKUP(Attack[[#This Row],[No用]],SetNo[[No.用]:[vlookup 用]],2,FALSE)</f>
        <v>185</v>
      </c>
      <c r="B736" s="14">
        <f>IF(ROW()=2,1,IF(A735&lt;&gt;Attack[[#This Row],[No]],1,B735+1))</f>
        <v>1</v>
      </c>
      <c r="C736" t="s">
        <v>150</v>
      </c>
      <c r="D736" t="s">
        <v>129</v>
      </c>
      <c r="E736" t="s">
        <v>90</v>
      </c>
      <c r="F736" t="s">
        <v>74</v>
      </c>
      <c r="G736" t="s">
        <v>128</v>
      </c>
      <c r="H736" t="s">
        <v>71</v>
      </c>
      <c r="I736">
        <v>1</v>
      </c>
      <c r="J736" t="s">
        <v>235</v>
      </c>
      <c r="K736" s="1" t="s">
        <v>168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夏祭り赤葦京治ICONIC</v>
      </c>
    </row>
    <row r="737" spans="1:20" x14ac:dyDescent="0.35">
      <c r="A737">
        <f>VLOOKUP(Attack[[#This Row],[No用]],SetNo[[No.用]:[vlookup 用]],2,FALSE)</f>
        <v>185</v>
      </c>
      <c r="B737" s="14">
        <f>IF(ROW()=2,1,IF(A736&lt;&gt;Attack[[#This Row],[No]],1,B736+1))</f>
        <v>2</v>
      </c>
      <c r="C737" t="s">
        <v>150</v>
      </c>
      <c r="D737" t="s">
        <v>129</v>
      </c>
      <c r="E737" t="s">
        <v>90</v>
      </c>
      <c r="F737" t="s">
        <v>74</v>
      </c>
      <c r="G737" t="s">
        <v>128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夏祭り赤葦京治ICONIC</v>
      </c>
    </row>
    <row r="738" spans="1:20" x14ac:dyDescent="0.35">
      <c r="A738">
        <f>VLOOKUP(Attack[[#This Row],[No用]],SetNo[[No.用]:[vlookup 用]],2,FALSE)</f>
        <v>186</v>
      </c>
      <c r="B738" s="14">
        <f>IF(ROW()=2,1,IF(A737&lt;&gt;Attack[[#This Row],[No]],1,B737+1))</f>
        <v>1</v>
      </c>
      <c r="C738" s="1" t="s">
        <v>149</v>
      </c>
      <c r="D738" s="1" t="s">
        <v>129</v>
      </c>
      <c r="E738" s="1" t="s">
        <v>77</v>
      </c>
      <c r="F738" s="1" t="s">
        <v>74</v>
      </c>
      <c r="G738" s="1" t="s">
        <v>128</v>
      </c>
      <c r="H738" s="1" t="s">
        <v>71</v>
      </c>
      <c r="I738">
        <v>1</v>
      </c>
      <c r="J738" t="s">
        <v>235</v>
      </c>
      <c r="K738" s="1" t="s">
        <v>168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制服赤葦京治ICONIC</v>
      </c>
    </row>
    <row r="739" spans="1:20" x14ac:dyDescent="0.35">
      <c r="A739">
        <f>VLOOKUP(Attack[[#This Row],[No用]],SetNo[[No.用]:[vlookup 用]],2,FALSE)</f>
        <v>186</v>
      </c>
      <c r="B739" s="14">
        <f>IF(ROW()=2,1,IF(A738&lt;&gt;Attack[[#This Row],[No]],1,B738+1))</f>
        <v>2</v>
      </c>
      <c r="C739" s="1" t="s">
        <v>149</v>
      </c>
      <c r="D739" s="1" t="s">
        <v>129</v>
      </c>
      <c r="E739" s="1" t="s">
        <v>77</v>
      </c>
      <c r="F739" s="1" t="s">
        <v>74</v>
      </c>
      <c r="G739" s="1" t="s">
        <v>128</v>
      </c>
      <c r="H739" s="1" t="s">
        <v>71</v>
      </c>
      <c r="I739">
        <v>1</v>
      </c>
      <c r="J739" t="s">
        <v>235</v>
      </c>
      <c r="K739" s="1" t="s">
        <v>169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制服赤葦京治ICONIC</v>
      </c>
    </row>
    <row r="740" spans="1:20" x14ac:dyDescent="0.35">
      <c r="A740">
        <f>VLOOKUP(Attack[[#This Row],[No用]],SetNo[[No.用]:[vlookup 用]],2,FALSE)</f>
        <v>187</v>
      </c>
      <c r="B740" s="14">
        <f>IF(ROW()=2,1,IF(A739&lt;&gt;Attack[[#This Row],[No]],1,B739+1))</f>
        <v>1</v>
      </c>
      <c r="C740" s="1" t="s">
        <v>1165</v>
      </c>
      <c r="D740" s="1" t="s">
        <v>129</v>
      </c>
      <c r="E740" s="1" t="s">
        <v>73</v>
      </c>
      <c r="F740" s="1" t="s">
        <v>74</v>
      </c>
      <c r="G740" s="1" t="s">
        <v>128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バーガー赤葦京治ICONIC</v>
      </c>
    </row>
    <row r="741" spans="1:20" x14ac:dyDescent="0.35">
      <c r="A741">
        <f>VLOOKUP(Attack[[#This Row],[No用]],SetNo[[No.用]:[vlookup 用]],2,FALSE)</f>
        <v>187</v>
      </c>
      <c r="B741" s="14">
        <f>IF(ROW()=2,1,IF(A740&lt;&gt;Attack[[#This Row],[No]],1,B740+1))</f>
        <v>2</v>
      </c>
      <c r="C741" s="1" t="s">
        <v>1165</v>
      </c>
      <c r="D741" s="1" t="s">
        <v>129</v>
      </c>
      <c r="E741" s="1" t="s">
        <v>73</v>
      </c>
      <c r="F741" s="1" t="s">
        <v>74</v>
      </c>
      <c r="G741" s="1" t="s">
        <v>128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バーガー赤葦京治ICONIC</v>
      </c>
    </row>
    <row r="742" spans="1:20" x14ac:dyDescent="0.35">
      <c r="A742">
        <f>VLOOKUP(Attack[[#This Row],[No用]],SetNo[[No.用]:[vlookup 用]],2,FALSE)</f>
        <v>188</v>
      </c>
      <c r="B742" s="14">
        <f>IF(ROW()=2,1,IF(A741&lt;&gt;Attack[[#This Row],[No]],1,B741+1))</f>
        <v>1</v>
      </c>
      <c r="C742" s="1" t="s">
        <v>108</v>
      </c>
      <c r="D742" s="1" t="s">
        <v>1116</v>
      </c>
      <c r="E742" s="1" t="s">
        <v>90</v>
      </c>
      <c r="F742" s="1" t="s">
        <v>78</v>
      </c>
      <c r="G742" s="1" t="s">
        <v>1102</v>
      </c>
      <c r="H742" s="1" t="s">
        <v>690</v>
      </c>
      <c r="I742">
        <v>1</v>
      </c>
      <c r="J742" t="s">
        <v>235</v>
      </c>
      <c r="K742" s="1" t="s">
        <v>168</v>
      </c>
      <c r="L742" s="1" t="s">
        <v>178</v>
      </c>
      <c r="M742">
        <v>27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ユニフォーム姫川葵ICONIC</v>
      </c>
    </row>
    <row r="743" spans="1:20" x14ac:dyDescent="0.35">
      <c r="A743">
        <f>VLOOKUP(Attack[[#This Row],[No用]],SetNo[[No.用]:[vlookup 用]],2,FALSE)</f>
        <v>188</v>
      </c>
      <c r="B743" s="14">
        <f>IF(ROW()=2,1,IF(A742&lt;&gt;Attack[[#This Row],[No]],1,B742+1))</f>
        <v>2</v>
      </c>
      <c r="C743" s="1" t="s">
        <v>108</v>
      </c>
      <c r="D743" s="1" t="s">
        <v>1116</v>
      </c>
      <c r="E743" s="1" t="s">
        <v>90</v>
      </c>
      <c r="F743" s="1" t="s">
        <v>78</v>
      </c>
      <c r="G743" s="1" t="s">
        <v>1102</v>
      </c>
      <c r="H743" s="1" t="s">
        <v>690</v>
      </c>
      <c r="I743">
        <v>1</v>
      </c>
      <c r="J743" t="s">
        <v>235</v>
      </c>
      <c r="K743" s="1" t="s">
        <v>169</v>
      </c>
      <c r="L743" s="1" t="s">
        <v>173</v>
      </c>
      <c r="M743">
        <v>28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ユニフォーム姫川葵ICONIC</v>
      </c>
    </row>
    <row r="744" spans="1:20" x14ac:dyDescent="0.35">
      <c r="A744">
        <f>VLOOKUP(Attack[[#This Row],[No用]],SetNo[[No.用]:[vlookup 用]],2,FALSE)</f>
        <v>188</v>
      </c>
      <c r="B744" s="14">
        <f>IF(ROW()=2,1,IF(A743&lt;&gt;Attack[[#This Row],[No]],1,B743+1))</f>
        <v>3</v>
      </c>
      <c r="C744" s="1" t="s">
        <v>108</v>
      </c>
      <c r="D744" s="1" t="s">
        <v>1116</v>
      </c>
      <c r="E744" s="1" t="s">
        <v>90</v>
      </c>
      <c r="F744" s="1" t="s">
        <v>78</v>
      </c>
      <c r="G744" s="1" t="s">
        <v>1102</v>
      </c>
      <c r="H744" s="1" t="s">
        <v>690</v>
      </c>
      <c r="I744">
        <v>1</v>
      </c>
      <c r="J744" t="s">
        <v>235</v>
      </c>
      <c r="K744" s="1" t="s">
        <v>172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ユニフォーム姫川葵ICONIC</v>
      </c>
    </row>
    <row r="745" spans="1:20" x14ac:dyDescent="0.35">
      <c r="A745">
        <f>VLOOKUP(Attack[[#This Row],[No用]],SetNo[[No.用]:[vlookup 用]],2,FALSE)</f>
        <v>189</v>
      </c>
      <c r="B745" s="14">
        <f>IF(ROW()=2,1,IF(A744&lt;&gt;Attack[[#This Row],[No]],1,B744+1))</f>
        <v>1</v>
      </c>
      <c r="C745" s="1" t="s">
        <v>108</v>
      </c>
      <c r="D745" s="1" t="s">
        <v>1130</v>
      </c>
      <c r="E745" s="1" t="s">
        <v>90</v>
      </c>
      <c r="F745" s="1" t="s">
        <v>82</v>
      </c>
      <c r="G745" s="1" t="s">
        <v>1102</v>
      </c>
      <c r="H745" s="1" t="s">
        <v>71</v>
      </c>
      <c r="I745">
        <v>1</v>
      </c>
      <c r="J745" t="s">
        <v>235</v>
      </c>
      <c r="K745" s="1" t="s">
        <v>168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ユニフォーム当間義友ICONIC</v>
      </c>
    </row>
    <row r="746" spans="1:20" x14ac:dyDescent="0.35">
      <c r="A746">
        <f>VLOOKUP(Attack[[#This Row],[No用]],SetNo[[No.用]:[vlookup 用]],2,FALSE)</f>
        <v>189</v>
      </c>
      <c r="B746" s="14">
        <f>IF(ROW()=2,1,IF(A745&lt;&gt;Attack[[#This Row],[No]],1,B745+1))</f>
        <v>2</v>
      </c>
      <c r="C746" s="1" t="s">
        <v>108</v>
      </c>
      <c r="D746" s="1" t="s">
        <v>1130</v>
      </c>
      <c r="E746" s="1" t="s">
        <v>90</v>
      </c>
      <c r="F746" s="1" t="s">
        <v>82</v>
      </c>
      <c r="G746" s="1" t="s">
        <v>1102</v>
      </c>
      <c r="H746" s="1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ユニフォーム当間義友ICONIC</v>
      </c>
    </row>
    <row r="747" spans="1:20" x14ac:dyDescent="0.35">
      <c r="A747">
        <f>VLOOKUP(Attack[[#This Row],[No用]],SetNo[[No.用]:[vlookup 用]],2,FALSE)</f>
        <v>190</v>
      </c>
      <c r="B747" s="14">
        <f>IF(ROW()=2,1,IF(A746&lt;&gt;Attack[[#This Row],[No]],1,B746+1))</f>
        <v>1</v>
      </c>
      <c r="C747" s="1" t="s">
        <v>108</v>
      </c>
      <c r="D747" s="1" t="s">
        <v>1100</v>
      </c>
      <c r="E747" s="1" t="s">
        <v>90</v>
      </c>
      <c r="F747" s="1" t="s">
        <v>74</v>
      </c>
      <c r="G747" s="1" t="s">
        <v>1102</v>
      </c>
      <c r="H747" s="1" t="s">
        <v>71</v>
      </c>
      <c r="I747">
        <v>1</v>
      </c>
      <c r="J747" t="s">
        <v>235</v>
      </c>
      <c r="K747" s="1" t="s">
        <v>168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ユニフォーム越後栄ICONIC</v>
      </c>
    </row>
    <row r="748" spans="1:20" x14ac:dyDescent="0.35">
      <c r="A748">
        <f>VLOOKUP(Attack[[#This Row],[No用]],SetNo[[No.用]:[vlookup 用]],2,FALSE)</f>
        <v>190</v>
      </c>
      <c r="B748" s="14">
        <f>IF(ROW()=2,1,IF(A747&lt;&gt;Attack[[#This Row],[No]],1,B747+1))</f>
        <v>2</v>
      </c>
      <c r="C748" s="1" t="s">
        <v>108</v>
      </c>
      <c r="D748" s="1" t="s">
        <v>1100</v>
      </c>
      <c r="E748" s="1" t="s">
        <v>90</v>
      </c>
      <c r="F748" s="1" t="s">
        <v>74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169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ユニフォーム越後栄ICONIC</v>
      </c>
    </row>
    <row r="749" spans="1:20" x14ac:dyDescent="0.35">
      <c r="A749">
        <f>VLOOKUP(Attack[[#This Row],[No用]],SetNo[[No.用]:[vlookup 用]],2,FALSE)</f>
        <v>191</v>
      </c>
      <c r="B749" s="14">
        <f>IF(ROW()=2,1,IF(A748&lt;&gt;Attack[[#This Row],[No]],1,B748+1))</f>
        <v>1</v>
      </c>
      <c r="C749" s="1" t="s">
        <v>108</v>
      </c>
      <c r="D749" s="1" t="s">
        <v>1136</v>
      </c>
      <c r="E749" s="1" t="s">
        <v>90</v>
      </c>
      <c r="F749" s="1" t="s">
        <v>80</v>
      </c>
      <c r="G749" s="1" t="s">
        <v>1102</v>
      </c>
      <c r="H749" s="1" t="s">
        <v>71</v>
      </c>
      <c r="I749">
        <v>1</v>
      </c>
      <c r="J749" t="s">
        <v>235</v>
      </c>
      <c r="K749" s="1"/>
      <c r="L749" s="1"/>
      <c r="M749">
        <v>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ユニフォーム貝掛亮文ICONIC</v>
      </c>
    </row>
    <row r="750" spans="1:20" x14ac:dyDescent="0.35">
      <c r="A750">
        <f>VLOOKUP(Attack[[#This Row],[No用]],SetNo[[No.用]:[vlookup 用]],2,FALSE)</f>
        <v>192</v>
      </c>
      <c r="B750" s="14">
        <f>IF(ROW()=2,1,IF(A749&lt;&gt;Attack[[#This Row],[No]],1,B749+1))</f>
        <v>1</v>
      </c>
      <c r="C750" s="1" t="s">
        <v>108</v>
      </c>
      <c r="D750" s="1" t="s">
        <v>1147</v>
      </c>
      <c r="E750" s="1" t="s">
        <v>73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ユニフォーム丸山一喜ICONIC</v>
      </c>
    </row>
    <row r="751" spans="1:20" x14ac:dyDescent="0.35">
      <c r="A751">
        <f>VLOOKUP(Attack[[#This Row],[No用]],SetNo[[No.用]:[vlookup 用]],2,FALSE)</f>
        <v>192</v>
      </c>
      <c r="B751" s="14">
        <f>IF(ROW()=2,1,IF(A750&lt;&gt;Attack[[#This Row],[No]],1,B750+1))</f>
        <v>2</v>
      </c>
      <c r="C751" s="1" t="s">
        <v>108</v>
      </c>
      <c r="D751" s="1" t="s">
        <v>1147</v>
      </c>
      <c r="E751" s="1" t="s">
        <v>73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178</v>
      </c>
      <c r="M751">
        <v>36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ユニフォーム丸山一喜ICONIC</v>
      </c>
    </row>
    <row r="752" spans="1:20" x14ac:dyDescent="0.35">
      <c r="A752">
        <f>VLOOKUP(Attack[[#This Row],[No用]],SetNo[[No.用]:[vlookup 用]],2,FALSE)</f>
        <v>192</v>
      </c>
      <c r="B752" s="14">
        <f>IF(ROW()=2,1,IF(A751&lt;&gt;Attack[[#This Row],[No]],1,B751+1))</f>
        <v>3</v>
      </c>
      <c r="C752" s="1" t="s">
        <v>108</v>
      </c>
      <c r="D752" s="1" t="s">
        <v>1147</v>
      </c>
      <c r="E752" s="1" t="s">
        <v>73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39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ユニフォーム丸山一喜ICONIC</v>
      </c>
    </row>
    <row r="753" spans="1:20" x14ac:dyDescent="0.35">
      <c r="A753">
        <f>VLOOKUP(Attack[[#This Row],[No用]],SetNo[[No.用]:[vlookup 用]],2,FALSE)</f>
        <v>192</v>
      </c>
      <c r="B753" s="14">
        <f>IF(ROW()=2,1,IF(A752&lt;&gt;Attack[[#This Row],[No]],1,B752+1))</f>
        <v>4</v>
      </c>
      <c r="C753" s="1" t="s">
        <v>108</v>
      </c>
      <c r="D753" s="1" t="s">
        <v>1147</v>
      </c>
      <c r="E753" s="1" t="s">
        <v>73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171</v>
      </c>
      <c r="L753" s="1" t="s">
        <v>173</v>
      </c>
      <c r="M753">
        <v>36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ユニフォーム丸山一喜ICONIC</v>
      </c>
    </row>
    <row r="754" spans="1:20" x14ac:dyDescent="0.35">
      <c r="A754">
        <f>VLOOKUP(Attack[[#This Row],[No用]],SetNo[[No.用]:[vlookup 用]],2,FALSE)</f>
        <v>192</v>
      </c>
      <c r="B754" s="14">
        <f>IF(ROW()=2,1,IF(A753&lt;&gt;Attack[[#This Row],[No]],1,B753+1))</f>
        <v>5</v>
      </c>
      <c r="C754" s="1" t="s">
        <v>108</v>
      </c>
      <c r="D754" s="1" t="s">
        <v>1147</v>
      </c>
      <c r="E754" s="1" t="s">
        <v>73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235</v>
      </c>
      <c r="K754" s="1" t="s">
        <v>172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ユニフォーム丸山一喜ICONIC</v>
      </c>
    </row>
    <row r="755" spans="1:20" x14ac:dyDescent="0.35">
      <c r="A755">
        <f>VLOOKUP(Attack[[#This Row],[No用]],SetNo[[No.用]:[vlookup 用]],2,FALSE)</f>
        <v>192</v>
      </c>
      <c r="B755" s="14">
        <f>IF(ROW()=2,1,IF(A754&lt;&gt;Attack[[#This Row],[No]],1,B754+1))</f>
        <v>6</v>
      </c>
      <c r="C755" s="1" t="s">
        <v>108</v>
      </c>
      <c r="D755" s="1" t="s">
        <v>1147</v>
      </c>
      <c r="E755" s="1" t="s">
        <v>73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235</v>
      </c>
      <c r="K755" s="1" t="s">
        <v>271</v>
      </c>
      <c r="L755" s="1" t="s">
        <v>225</v>
      </c>
      <c r="M755">
        <v>46</v>
      </c>
      <c r="N755">
        <v>0</v>
      </c>
      <c r="O755">
        <v>56</v>
      </c>
      <c r="P755">
        <v>0</v>
      </c>
      <c r="T755" t="str">
        <f>Attack[[#This Row],[服装]]&amp;Attack[[#This Row],[名前]]&amp;Attack[[#This Row],[レアリティ]]</f>
        <v>ユニフォーム丸山一喜ICONIC</v>
      </c>
    </row>
    <row r="756" spans="1:20" x14ac:dyDescent="0.35">
      <c r="A756">
        <f>VLOOKUP(Attack[[#This Row],[No用]],SetNo[[No.用]:[vlookup 用]],2,FALSE)</f>
        <v>193</v>
      </c>
      <c r="B756" s="14">
        <f>IF(ROW()=2,1,IF(A755&lt;&gt;Attack[[#This Row],[No]],1,B755+1))</f>
        <v>1</v>
      </c>
      <c r="C756" s="1" t="s">
        <v>108</v>
      </c>
      <c r="D756" s="1" t="s">
        <v>1152</v>
      </c>
      <c r="E756" s="1" t="s">
        <v>90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235</v>
      </c>
      <c r="K756" s="1" t="s">
        <v>168</v>
      </c>
      <c r="L756" s="1" t="s">
        <v>173</v>
      </c>
      <c r="M756">
        <v>28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ユニフォーム舞子侑志ICONIC</v>
      </c>
    </row>
    <row r="757" spans="1:20" x14ac:dyDescent="0.35">
      <c r="A757">
        <f>VLOOKUP(Attack[[#This Row],[No用]],SetNo[[No.用]:[vlookup 用]],2,FALSE)</f>
        <v>193</v>
      </c>
      <c r="B757" s="14">
        <f>IF(ROW()=2,1,IF(A756&lt;&gt;Attack[[#This Row],[No]],1,B756+1))</f>
        <v>2</v>
      </c>
      <c r="C757" s="1" t="s">
        <v>108</v>
      </c>
      <c r="D757" s="1" t="s">
        <v>1152</v>
      </c>
      <c r="E757" s="1" t="s">
        <v>90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235</v>
      </c>
      <c r="K757" s="1" t="s">
        <v>169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ユニフォーム舞子侑志ICONIC</v>
      </c>
    </row>
    <row r="758" spans="1:20" x14ac:dyDescent="0.35">
      <c r="A758">
        <f>VLOOKUP(Attack[[#This Row],[No用]],SetNo[[No.用]:[vlookup 用]],2,FALSE)</f>
        <v>193</v>
      </c>
      <c r="B758" s="14">
        <f>IF(ROW()=2,1,IF(A757&lt;&gt;Attack[[#This Row],[No]],1,B757+1))</f>
        <v>3</v>
      </c>
      <c r="C758" s="1" t="s">
        <v>108</v>
      </c>
      <c r="D758" s="1" t="s">
        <v>1152</v>
      </c>
      <c r="E758" s="1" t="s">
        <v>90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235</v>
      </c>
      <c r="K758" s="1" t="s">
        <v>170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ユニフォーム舞子侑志ICONIC</v>
      </c>
    </row>
    <row r="759" spans="1:20" x14ac:dyDescent="0.35">
      <c r="A759">
        <f>VLOOKUP(Attack[[#This Row],[No用]],SetNo[[No.用]:[vlookup 用]],2,FALSE)</f>
        <v>193</v>
      </c>
      <c r="B759" s="14">
        <f>IF(ROW()=2,1,IF(A758&lt;&gt;Attack[[#This Row],[No]],1,B758+1))</f>
        <v>4</v>
      </c>
      <c r="C759" s="1" t="s">
        <v>108</v>
      </c>
      <c r="D759" s="1" t="s">
        <v>1152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235</v>
      </c>
      <c r="K759" s="1" t="s">
        <v>172</v>
      </c>
      <c r="L759" s="1" t="s">
        <v>162</v>
      </c>
      <c r="M759">
        <v>20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ユニフォーム舞子侑志ICONIC</v>
      </c>
    </row>
    <row r="760" spans="1:20" x14ac:dyDescent="0.35">
      <c r="A760">
        <f>VLOOKUP(Attack[[#This Row],[No用]],SetNo[[No.用]:[vlookup 用]],2,FALSE)</f>
        <v>193</v>
      </c>
      <c r="B760" s="14">
        <f>IF(ROW()=2,1,IF(A759&lt;&gt;Attack[[#This Row],[No]],1,B759+1))</f>
        <v>5</v>
      </c>
      <c r="C760" s="1" t="s">
        <v>108</v>
      </c>
      <c r="D760" s="1" t="s">
        <v>1152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235</v>
      </c>
      <c r="K760" s="1" t="s">
        <v>183</v>
      </c>
      <c r="L760" s="1" t="s">
        <v>225</v>
      </c>
      <c r="M760">
        <v>38</v>
      </c>
      <c r="N760">
        <v>0</v>
      </c>
      <c r="O760">
        <v>48</v>
      </c>
      <c r="P760">
        <v>0</v>
      </c>
      <c r="T760" t="str">
        <f>Attack[[#This Row],[服装]]&amp;Attack[[#This Row],[名前]]&amp;Attack[[#This Row],[レアリティ]]</f>
        <v>ユニフォーム舞子侑志ICONIC</v>
      </c>
    </row>
    <row r="761" spans="1:20" x14ac:dyDescent="0.35">
      <c r="A761">
        <f>VLOOKUP(Attack[[#This Row],[No用]],SetNo[[No.用]:[vlookup 用]],2,FALSE)</f>
        <v>194</v>
      </c>
      <c r="B761" s="14">
        <f>IF(ROW()=2,1,IF(A760&lt;&gt;Attack[[#This Row],[No]],1,B760+1))</f>
        <v>1</v>
      </c>
      <c r="C761" s="1" t="s">
        <v>108</v>
      </c>
      <c r="D761" s="1" t="s">
        <v>1110</v>
      </c>
      <c r="E761" s="1" t="s">
        <v>90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235</v>
      </c>
      <c r="K761" s="1" t="s">
        <v>168</v>
      </c>
      <c r="L761" s="1" t="s">
        <v>173</v>
      </c>
      <c r="M761">
        <v>38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ユニフォーム寺泊基希ICONIC</v>
      </c>
    </row>
    <row r="762" spans="1:20" x14ac:dyDescent="0.35">
      <c r="A762">
        <f>VLOOKUP(Attack[[#This Row],[No用]],SetNo[[No.用]:[vlookup 用]],2,FALSE)</f>
        <v>194</v>
      </c>
      <c r="B762" s="14">
        <f>IF(ROW()=2,1,IF(A761&lt;&gt;Attack[[#This Row],[No]],1,B761+1))</f>
        <v>2</v>
      </c>
      <c r="C762" s="1" t="s">
        <v>108</v>
      </c>
      <c r="D762" s="1" t="s">
        <v>1110</v>
      </c>
      <c r="E762" s="1" t="s">
        <v>90</v>
      </c>
      <c r="F762" s="1" t="s">
        <v>78</v>
      </c>
      <c r="G762" s="1" t="s">
        <v>1102</v>
      </c>
      <c r="H762" s="1" t="s">
        <v>71</v>
      </c>
      <c r="I762">
        <v>1</v>
      </c>
      <c r="J762" t="s">
        <v>235</v>
      </c>
      <c r="K762" s="1" t="s">
        <v>169</v>
      </c>
      <c r="L762" s="1" t="s">
        <v>173</v>
      </c>
      <c r="M762">
        <v>38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ユニフォーム寺泊基希ICONIC</v>
      </c>
    </row>
    <row r="763" spans="1:20" x14ac:dyDescent="0.35">
      <c r="A763">
        <f>VLOOKUP(Attack[[#This Row],[No用]],SetNo[[No.用]:[vlookup 用]],2,FALSE)</f>
        <v>194</v>
      </c>
      <c r="B763" s="14">
        <f>IF(ROW()=2,1,IF(A762&lt;&gt;Attack[[#This Row],[No]],1,B762+1))</f>
        <v>3</v>
      </c>
      <c r="C763" s="1" t="s">
        <v>108</v>
      </c>
      <c r="D763" s="1" t="s">
        <v>1110</v>
      </c>
      <c r="E763" s="1" t="s">
        <v>90</v>
      </c>
      <c r="F763" s="1" t="s">
        <v>78</v>
      </c>
      <c r="G763" s="1" t="s">
        <v>1102</v>
      </c>
      <c r="H763" s="1" t="s">
        <v>71</v>
      </c>
      <c r="I763">
        <v>1</v>
      </c>
      <c r="J763" t="s">
        <v>235</v>
      </c>
      <c r="K763" s="1" t="s">
        <v>170</v>
      </c>
      <c r="L763" s="1" t="s">
        <v>162</v>
      </c>
      <c r="M763">
        <v>35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ユニフォーム寺泊基希ICONIC</v>
      </c>
    </row>
    <row r="764" spans="1:20" x14ac:dyDescent="0.35">
      <c r="A764">
        <f>VLOOKUP(Attack[[#This Row],[No用]],SetNo[[No.用]:[vlookup 用]],2,FALSE)</f>
        <v>194</v>
      </c>
      <c r="B764" s="14">
        <f>IF(ROW()=2,1,IF(A763&lt;&gt;Attack[[#This Row],[No]],1,B763+1))</f>
        <v>4</v>
      </c>
      <c r="C764" s="1" t="s">
        <v>108</v>
      </c>
      <c r="D764" s="1" t="s">
        <v>1110</v>
      </c>
      <c r="E764" s="1" t="s">
        <v>90</v>
      </c>
      <c r="F764" s="1" t="s">
        <v>78</v>
      </c>
      <c r="G764" s="1" t="s">
        <v>1102</v>
      </c>
      <c r="H764" s="1" t="s">
        <v>71</v>
      </c>
      <c r="I764">
        <v>1</v>
      </c>
      <c r="J764" t="s">
        <v>235</v>
      </c>
      <c r="K764" s="1" t="s">
        <v>171</v>
      </c>
      <c r="L764" s="1" t="s">
        <v>173</v>
      </c>
      <c r="M764">
        <v>41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ユニフォーム寺泊基希ICONIC</v>
      </c>
    </row>
    <row r="765" spans="1:20" x14ac:dyDescent="0.35">
      <c r="A765">
        <f>VLOOKUP(Attack[[#This Row],[No用]],SetNo[[No.用]:[vlookup 用]],2,FALSE)</f>
        <v>194</v>
      </c>
      <c r="B765" s="14">
        <f>IF(ROW()=2,1,IF(A764&lt;&gt;Attack[[#This Row],[No]],1,B764+1))</f>
        <v>5</v>
      </c>
      <c r="C765" s="1" t="s">
        <v>108</v>
      </c>
      <c r="D765" s="1" t="s">
        <v>1110</v>
      </c>
      <c r="E765" s="1" t="s">
        <v>90</v>
      </c>
      <c r="F765" s="1" t="s">
        <v>78</v>
      </c>
      <c r="G765" s="1" t="s">
        <v>1102</v>
      </c>
      <c r="H765" s="1" t="s">
        <v>71</v>
      </c>
      <c r="I765">
        <v>1</v>
      </c>
      <c r="J765" t="s">
        <v>235</v>
      </c>
      <c r="K765" s="1" t="s">
        <v>172</v>
      </c>
      <c r="L765" s="1" t="s">
        <v>178</v>
      </c>
      <c r="M765">
        <v>38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ユニフォーム寺泊基希ICONIC</v>
      </c>
    </row>
    <row r="766" spans="1:20" x14ac:dyDescent="0.35">
      <c r="A766">
        <f>VLOOKUP(Attack[[#This Row],[No用]],SetNo[[No.用]:[vlookup 用]],2,FALSE)</f>
        <v>194</v>
      </c>
      <c r="B766" s="14">
        <f>IF(ROW()=2,1,IF(A765&lt;&gt;Attack[[#This Row],[No]],1,B765+1))</f>
        <v>6</v>
      </c>
      <c r="C766" s="1" t="s">
        <v>108</v>
      </c>
      <c r="D766" s="1" t="s">
        <v>1110</v>
      </c>
      <c r="E766" s="1" t="s">
        <v>90</v>
      </c>
      <c r="F766" s="1" t="s">
        <v>78</v>
      </c>
      <c r="G766" s="1" t="s">
        <v>1102</v>
      </c>
      <c r="H766" s="1" t="s">
        <v>71</v>
      </c>
      <c r="I766">
        <v>1</v>
      </c>
      <c r="J766" t="s">
        <v>235</v>
      </c>
      <c r="K766" s="1" t="s">
        <v>183</v>
      </c>
      <c r="L766" s="1" t="s">
        <v>225</v>
      </c>
      <c r="M766">
        <v>46</v>
      </c>
      <c r="N766">
        <v>0</v>
      </c>
      <c r="O766">
        <v>56</v>
      </c>
      <c r="P766">
        <v>0</v>
      </c>
      <c r="T766" t="str">
        <f>Attack[[#This Row],[服装]]&amp;Attack[[#This Row],[名前]]&amp;Attack[[#This Row],[レアリティ]]</f>
        <v>ユニフォーム寺泊基希ICONIC</v>
      </c>
    </row>
    <row r="767" spans="1:20" x14ac:dyDescent="0.35">
      <c r="A767">
        <f>VLOOKUP(Attack[[#This Row],[No用]],SetNo[[No.用]:[vlookup 用]],2,FALSE)</f>
        <v>194</v>
      </c>
      <c r="B767" s="14">
        <f>IF(ROW()=2,1,IF(A766&lt;&gt;Attack[[#This Row],[No]],1,B766+1))</f>
        <v>7</v>
      </c>
      <c r="C767" s="1" t="s">
        <v>108</v>
      </c>
      <c r="D767" s="1" t="s">
        <v>1110</v>
      </c>
      <c r="E767" s="1" t="s">
        <v>90</v>
      </c>
      <c r="F767" s="1" t="s">
        <v>78</v>
      </c>
      <c r="G767" s="1" t="s">
        <v>1102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225</v>
      </c>
      <c r="M767">
        <v>46</v>
      </c>
      <c r="N767">
        <v>0</v>
      </c>
      <c r="O767">
        <v>56</v>
      </c>
      <c r="P767">
        <v>0</v>
      </c>
      <c r="T767" t="str">
        <f>Attack[[#This Row],[服装]]&amp;Attack[[#This Row],[名前]]&amp;Attack[[#This Row],[レアリティ]]</f>
        <v>ユニフォーム寺泊基希ICONIC</v>
      </c>
    </row>
    <row r="768" spans="1:20" x14ac:dyDescent="0.35">
      <c r="A768">
        <f>VLOOKUP(Attack[[#This Row],[No用]],SetNo[[No.用]:[vlookup 用]],2,FALSE)</f>
        <v>195</v>
      </c>
      <c r="B768" s="14">
        <f>IF(ROW()=2,1,IF(A767&lt;&gt;Attack[[#This Row],[No]],1,B767+1))</f>
        <v>1</v>
      </c>
      <c r="C768" t="s">
        <v>108</v>
      </c>
      <c r="D768" t="s">
        <v>283</v>
      </c>
      <c r="E768" t="s">
        <v>77</v>
      </c>
      <c r="F768" t="s">
        <v>78</v>
      </c>
      <c r="G768" t="s">
        <v>134</v>
      </c>
      <c r="H768" t="s">
        <v>71</v>
      </c>
      <c r="I768">
        <v>1</v>
      </c>
      <c r="J768" t="s">
        <v>235</v>
      </c>
      <c r="K768" s="1" t="s">
        <v>168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ユニフォーム星海光来ICONIC</v>
      </c>
    </row>
    <row r="769" spans="1:20" x14ac:dyDescent="0.35">
      <c r="A769">
        <f>VLOOKUP(Attack[[#This Row],[No用]],SetNo[[No.用]:[vlookup 用]],2,FALSE)</f>
        <v>195</v>
      </c>
      <c r="B769" s="14">
        <f>IF(ROW()=2,1,IF(A768&lt;&gt;Attack[[#This Row],[No]],1,B768+1))</f>
        <v>2</v>
      </c>
      <c r="C769" t="s">
        <v>108</v>
      </c>
      <c r="D769" t="s">
        <v>283</v>
      </c>
      <c r="E769" t="s">
        <v>77</v>
      </c>
      <c r="F769" t="s">
        <v>78</v>
      </c>
      <c r="G769" t="s">
        <v>134</v>
      </c>
      <c r="H769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33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ユニフォーム星海光来ICONIC</v>
      </c>
    </row>
    <row r="770" spans="1:20" x14ac:dyDescent="0.35">
      <c r="A770">
        <f>VLOOKUP(Attack[[#This Row],[No用]],SetNo[[No.用]:[vlookup 用]],2,FALSE)</f>
        <v>195</v>
      </c>
      <c r="B770" s="14">
        <f>IF(ROW()=2,1,IF(A769&lt;&gt;Attack[[#This Row],[No]],1,B769+1))</f>
        <v>3</v>
      </c>
      <c r="C770" t="s">
        <v>108</v>
      </c>
      <c r="D770" t="s">
        <v>283</v>
      </c>
      <c r="E770" t="s">
        <v>77</v>
      </c>
      <c r="F770" t="s">
        <v>78</v>
      </c>
      <c r="G770" t="s">
        <v>134</v>
      </c>
      <c r="H770" t="s">
        <v>71</v>
      </c>
      <c r="I770">
        <v>1</v>
      </c>
      <c r="J770" t="s">
        <v>235</v>
      </c>
      <c r="K770" s="1" t="s">
        <v>271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ユニフォーム星海光来ICONIC</v>
      </c>
    </row>
    <row r="771" spans="1:20" x14ac:dyDescent="0.35">
      <c r="A771">
        <f>VLOOKUP(Attack[[#This Row],[No用]],SetNo[[No.用]:[vlookup 用]],2,FALSE)</f>
        <v>195</v>
      </c>
      <c r="B771" s="14">
        <f>IF(ROW()=2,1,IF(A770&lt;&gt;Attack[[#This Row],[No]],1,B770+1))</f>
        <v>4</v>
      </c>
      <c r="C771" t="s">
        <v>108</v>
      </c>
      <c r="D771" t="s">
        <v>283</v>
      </c>
      <c r="E771" t="s">
        <v>77</v>
      </c>
      <c r="F771" t="s">
        <v>78</v>
      </c>
      <c r="G771" t="s">
        <v>134</v>
      </c>
      <c r="H771" t="s">
        <v>71</v>
      </c>
      <c r="I771">
        <v>1</v>
      </c>
      <c r="J771" t="s">
        <v>235</v>
      </c>
      <c r="K771" s="1" t="s">
        <v>171</v>
      </c>
      <c r="L771" s="1" t="s">
        <v>162</v>
      </c>
      <c r="M771">
        <v>36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ユニフォーム星海光来ICONIC</v>
      </c>
    </row>
    <row r="772" spans="1:20" x14ac:dyDescent="0.35">
      <c r="A772">
        <f>VLOOKUP(Attack[[#This Row],[No用]],SetNo[[No.用]:[vlookup 用]],2,FALSE)</f>
        <v>195</v>
      </c>
      <c r="B772" s="14">
        <f>IF(ROW()=2,1,IF(A771&lt;&gt;Attack[[#This Row],[No]],1,B771+1))</f>
        <v>5</v>
      </c>
      <c r="C772" t="s">
        <v>108</v>
      </c>
      <c r="D772" t="s">
        <v>283</v>
      </c>
      <c r="E772" t="s">
        <v>77</v>
      </c>
      <c r="F772" t="s">
        <v>78</v>
      </c>
      <c r="G772" t="s">
        <v>134</v>
      </c>
      <c r="H772" t="s">
        <v>71</v>
      </c>
      <c r="I772">
        <v>1</v>
      </c>
      <c r="J772" t="s">
        <v>235</v>
      </c>
      <c r="K772" s="1" t="s">
        <v>286</v>
      </c>
      <c r="L772" s="1" t="s">
        <v>173</v>
      </c>
      <c r="M772">
        <v>39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ユニフォーム星海光来ICONIC</v>
      </c>
    </row>
    <row r="773" spans="1:20" x14ac:dyDescent="0.35">
      <c r="A773">
        <f>VLOOKUP(Attack[[#This Row],[No用]],SetNo[[No.用]:[vlookup 用]],2,FALSE)</f>
        <v>195</v>
      </c>
      <c r="B773" s="14">
        <f>IF(ROW()=2,1,IF(A772&lt;&gt;Attack[[#This Row],[No]],1,B772+1))</f>
        <v>6</v>
      </c>
      <c r="C773" t="s">
        <v>108</v>
      </c>
      <c r="D773" t="s">
        <v>283</v>
      </c>
      <c r="E773" t="s">
        <v>77</v>
      </c>
      <c r="F773" t="s">
        <v>78</v>
      </c>
      <c r="G773" t="s">
        <v>134</v>
      </c>
      <c r="H773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ユニフォーム星海光来ICONIC</v>
      </c>
    </row>
    <row r="774" spans="1:20" x14ac:dyDescent="0.35">
      <c r="A774">
        <f>VLOOKUP(Attack[[#This Row],[No用]],SetNo[[No.用]:[vlookup 用]],2,FALSE)</f>
        <v>195</v>
      </c>
      <c r="B774" s="14">
        <f>IF(ROW()=2,1,IF(A773&lt;&gt;Attack[[#This Row],[No]],1,B773+1))</f>
        <v>7</v>
      </c>
      <c r="C774" t="s">
        <v>108</v>
      </c>
      <c r="D774" t="s">
        <v>283</v>
      </c>
      <c r="E774" t="s">
        <v>77</v>
      </c>
      <c r="F774" t="s">
        <v>78</v>
      </c>
      <c r="G774" t="s">
        <v>134</v>
      </c>
      <c r="H774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51</v>
      </c>
      <c r="N774">
        <v>0</v>
      </c>
      <c r="O774">
        <v>61</v>
      </c>
      <c r="P774">
        <v>0</v>
      </c>
      <c r="T774" t="str">
        <f>Attack[[#This Row],[服装]]&amp;Attack[[#This Row],[名前]]&amp;Attack[[#This Row],[レアリティ]]</f>
        <v>ユニフォーム星海光来ICONIC</v>
      </c>
    </row>
    <row r="775" spans="1:20" x14ac:dyDescent="0.35">
      <c r="A775">
        <f>VLOOKUP(Attack[[#This Row],[No用]],SetNo[[No.用]:[vlookup 用]],2,FALSE)</f>
        <v>196</v>
      </c>
      <c r="B775" s="14">
        <f>IF(ROW()=2,1,IF(A774&lt;&gt;Attack[[#This Row],[No]],1,B774+1))</f>
        <v>1</v>
      </c>
      <c r="C775" s="1" t="s">
        <v>895</v>
      </c>
      <c r="D775" t="s">
        <v>283</v>
      </c>
      <c r="E775" s="1" t="s">
        <v>73</v>
      </c>
      <c r="F775" t="s">
        <v>78</v>
      </c>
      <c r="G775" t="s">
        <v>134</v>
      </c>
      <c r="H775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文化祭星海光来ICONIC</v>
      </c>
    </row>
    <row r="776" spans="1:20" x14ac:dyDescent="0.35">
      <c r="A776">
        <f>VLOOKUP(Attack[[#This Row],[No用]],SetNo[[No.用]:[vlookup 用]],2,FALSE)</f>
        <v>196</v>
      </c>
      <c r="B776" s="14">
        <f>IF(ROW()=2,1,IF(A775&lt;&gt;Attack[[#This Row],[No]],1,B775+1))</f>
        <v>2</v>
      </c>
      <c r="C776" s="1" t="s">
        <v>895</v>
      </c>
      <c r="D776" t="s">
        <v>283</v>
      </c>
      <c r="E776" s="1" t="s">
        <v>73</v>
      </c>
      <c r="F776" t="s">
        <v>78</v>
      </c>
      <c r="G776" t="s">
        <v>134</v>
      </c>
      <c r="H776" t="s">
        <v>71</v>
      </c>
      <c r="I776">
        <v>1</v>
      </c>
      <c r="J776" t="s">
        <v>235</v>
      </c>
      <c r="K776" s="1" t="s">
        <v>169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文化祭星海光来ICONIC</v>
      </c>
    </row>
    <row r="777" spans="1:20" x14ac:dyDescent="0.35">
      <c r="A777">
        <f>VLOOKUP(Attack[[#This Row],[No用]],SetNo[[No.用]:[vlookup 用]],2,FALSE)</f>
        <v>196</v>
      </c>
      <c r="B777" s="14">
        <f>IF(ROW()=2,1,IF(A776&lt;&gt;Attack[[#This Row],[No]],1,B776+1))</f>
        <v>3</v>
      </c>
      <c r="C777" s="1" t="s">
        <v>895</v>
      </c>
      <c r="D777" t="s">
        <v>283</v>
      </c>
      <c r="E777" s="1" t="s">
        <v>73</v>
      </c>
      <c r="F777" t="s">
        <v>78</v>
      </c>
      <c r="G777" t="s">
        <v>134</v>
      </c>
      <c r="H777" t="s">
        <v>71</v>
      </c>
      <c r="I777">
        <v>1</v>
      </c>
      <c r="J777" t="s">
        <v>235</v>
      </c>
      <c r="K777" s="1" t="s">
        <v>271</v>
      </c>
      <c r="L777" s="1" t="s">
        <v>173</v>
      </c>
      <c r="M777">
        <v>42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文化祭星海光来ICONIC</v>
      </c>
    </row>
    <row r="778" spans="1:20" x14ac:dyDescent="0.35">
      <c r="A778">
        <f>VLOOKUP(Attack[[#This Row],[No用]],SetNo[[No.用]:[vlookup 用]],2,FALSE)</f>
        <v>196</v>
      </c>
      <c r="B778" s="14">
        <f>IF(ROW()=2,1,IF(A777&lt;&gt;Attack[[#This Row],[No]],1,B777+1))</f>
        <v>4</v>
      </c>
      <c r="C778" s="1" t="s">
        <v>895</v>
      </c>
      <c r="D778" t="s">
        <v>283</v>
      </c>
      <c r="E778" s="1" t="s">
        <v>73</v>
      </c>
      <c r="F778" t="s">
        <v>78</v>
      </c>
      <c r="G778" t="s">
        <v>134</v>
      </c>
      <c r="H778" t="s">
        <v>71</v>
      </c>
      <c r="I778">
        <v>1</v>
      </c>
      <c r="J778" t="s">
        <v>235</v>
      </c>
      <c r="K778" s="1" t="s">
        <v>171</v>
      </c>
      <c r="L778" s="1" t="s">
        <v>162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文化祭星海光来ICONIC</v>
      </c>
    </row>
    <row r="779" spans="1:20" x14ac:dyDescent="0.35">
      <c r="A779">
        <f>VLOOKUP(Attack[[#This Row],[No用]],SetNo[[No.用]:[vlookup 用]],2,FALSE)</f>
        <v>196</v>
      </c>
      <c r="B779" s="14">
        <f>IF(ROW()=2,1,IF(A778&lt;&gt;Attack[[#This Row],[No]],1,B778+1))</f>
        <v>5</v>
      </c>
      <c r="C779" s="1" t="s">
        <v>895</v>
      </c>
      <c r="D779" t="s">
        <v>283</v>
      </c>
      <c r="E779" s="1" t="s">
        <v>73</v>
      </c>
      <c r="F779" t="s">
        <v>78</v>
      </c>
      <c r="G779" t="s">
        <v>134</v>
      </c>
      <c r="H779" t="s">
        <v>71</v>
      </c>
      <c r="I779">
        <v>1</v>
      </c>
      <c r="J779" t="s">
        <v>235</v>
      </c>
      <c r="K779" s="1" t="s">
        <v>284</v>
      </c>
      <c r="L779" s="1" t="s">
        <v>173</v>
      </c>
      <c r="M779">
        <v>39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文化祭星海光来ICONIC</v>
      </c>
    </row>
    <row r="780" spans="1:20" x14ac:dyDescent="0.35">
      <c r="A780">
        <f>VLOOKUP(Attack[[#This Row],[No用]],SetNo[[No.用]:[vlookup 用]],2,FALSE)</f>
        <v>196</v>
      </c>
      <c r="B780" s="14">
        <f>IF(ROW()=2,1,IF(A779&lt;&gt;Attack[[#This Row],[No]],1,B779+1))</f>
        <v>6</v>
      </c>
      <c r="C780" s="1" t="s">
        <v>895</v>
      </c>
      <c r="D780" t="s">
        <v>283</v>
      </c>
      <c r="E780" s="1" t="s">
        <v>73</v>
      </c>
      <c r="F780" t="s">
        <v>78</v>
      </c>
      <c r="G780" t="s">
        <v>134</v>
      </c>
      <c r="H780" t="s">
        <v>71</v>
      </c>
      <c r="I780">
        <v>1</v>
      </c>
      <c r="J780" t="s">
        <v>235</v>
      </c>
      <c r="K780" s="1" t="s">
        <v>172</v>
      </c>
      <c r="L780" s="1" t="s">
        <v>162</v>
      </c>
      <c r="M780">
        <v>33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文化祭星海光来ICONIC</v>
      </c>
    </row>
    <row r="781" spans="1:20" x14ac:dyDescent="0.35">
      <c r="A781">
        <f>VLOOKUP(Attack[[#This Row],[No用]],SetNo[[No.用]:[vlookup 用]],2,FALSE)</f>
        <v>196</v>
      </c>
      <c r="B781" s="14">
        <f>IF(ROW()=2,1,IF(A780&lt;&gt;Attack[[#This Row],[No]],1,B780+1))</f>
        <v>7</v>
      </c>
      <c r="C781" s="1" t="s">
        <v>895</v>
      </c>
      <c r="D781" t="s">
        <v>283</v>
      </c>
      <c r="E781" s="1" t="s">
        <v>73</v>
      </c>
      <c r="F781" t="s">
        <v>78</v>
      </c>
      <c r="G781" t="s">
        <v>134</v>
      </c>
      <c r="H781" t="s">
        <v>71</v>
      </c>
      <c r="I781">
        <v>1</v>
      </c>
      <c r="J781" t="s">
        <v>235</v>
      </c>
      <c r="K781" s="1" t="s">
        <v>183</v>
      </c>
      <c r="L781" s="1" t="s">
        <v>225</v>
      </c>
      <c r="M781">
        <v>51</v>
      </c>
      <c r="N781">
        <v>0</v>
      </c>
      <c r="O781">
        <v>61</v>
      </c>
      <c r="P781">
        <v>0</v>
      </c>
      <c r="T781" t="str">
        <f>Attack[[#This Row],[服装]]&amp;Attack[[#This Row],[名前]]&amp;Attack[[#This Row],[レアリティ]]</f>
        <v>文化祭星海光来ICONIC</v>
      </c>
    </row>
    <row r="782" spans="1:20" x14ac:dyDescent="0.35">
      <c r="A782">
        <f>VLOOKUP(Attack[[#This Row],[No用]],SetNo[[No.用]:[vlookup 用]],2,FALSE)</f>
        <v>197</v>
      </c>
      <c r="B782" s="14">
        <f>IF(ROW()=2,1,IF(A781&lt;&gt;Attack[[#This Row],[No]],1,B781+1))</f>
        <v>1</v>
      </c>
      <c r="C782" s="1" t="s">
        <v>1049</v>
      </c>
      <c r="D782" s="1" t="s">
        <v>283</v>
      </c>
      <c r="E782" s="1" t="s">
        <v>90</v>
      </c>
      <c r="F782" s="1" t="s">
        <v>78</v>
      </c>
      <c r="G782" s="1" t="s">
        <v>134</v>
      </c>
      <c r="H782" s="1" t="s">
        <v>71</v>
      </c>
      <c r="I782">
        <v>1</v>
      </c>
      <c r="J782" t="s">
        <v>235</v>
      </c>
      <c r="K782" s="1" t="s">
        <v>168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サバゲ星海光来ICONIC</v>
      </c>
    </row>
    <row r="783" spans="1:20" x14ac:dyDescent="0.35">
      <c r="A783">
        <f>VLOOKUP(Attack[[#This Row],[No用]],SetNo[[No.用]:[vlookup 用]],2,FALSE)</f>
        <v>197</v>
      </c>
      <c r="B783" s="14">
        <f>IF(ROW()=2,1,IF(A782&lt;&gt;Attack[[#This Row],[No]],1,B782+1))</f>
        <v>2</v>
      </c>
      <c r="C783" s="1" t="s">
        <v>1049</v>
      </c>
      <c r="D783" s="1" t="s">
        <v>283</v>
      </c>
      <c r="E783" s="1" t="s">
        <v>90</v>
      </c>
      <c r="F783" s="1" t="s">
        <v>78</v>
      </c>
      <c r="G783" s="1" t="s">
        <v>134</v>
      </c>
      <c r="H783" s="1" t="s">
        <v>71</v>
      </c>
      <c r="I783">
        <v>1</v>
      </c>
      <c r="J783" t="s">
        <v>235</v>
      </c>
      <c r="K783" s="1" t="s">
        <v>169</v>
      </c>
      <c r="L783" s="1" t="s">
        <v>162</v>
      </c>
      <c r="M783">
        <v>33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サバゲ星海光来ICONIC</v>
      </c>
    </row>
    <row r="784" spans="1:20" x14ac:dyDescent="0.35">
      <c r="A784">
        <f>VLOOKUP(Attack[[#This Row],[No用]],SetNo[[No.用]:[vlookup 用]],2,FALSE)</f>
        <v>197</v>
      </c>
      <c r="B784" s="14">
        <f>IF(ROW()=2,1,IF(A783&lt;&gt;Attack[[#This Row],[No]],1,B783+1))</f>
        <v>3</v>
      </c>
      <c r="C784" s="1" t="s">
        <v>1049</v>
      </c>
      <c r="D784" s="1" t="s">
        <v>283</v>
      </c>
      <c r="E784" s="1" t="s">
        <v>90</v>
      </c>
      <c r="F784" s="1" t="s">
        <v>78</v>
      </c>
      <c r="G784" s="1" t="s">
        <v>134</v>
      </c>
      <c r="H784" s="1" t="s">
        <v>71</v>
      </c>
      <c r="I784">
        <v>1</v>
      </c>
      <c r="J784" t="s">
        <v>235</v>
      </c>
      <c r="K784" s="1" t="s">
        <v>271</v>
      </c>
      <c r="L784" s="1" t="s">
        <v>178</v>
      </c>
      <c r="M784">
        <v>36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サバゲ星海光来ICONIC</v>
      </c>
    </row>
    <row r="785" spans="1:20" x14ac:dyDescent="0.35">
      <c r="A785">
        <f>VLOOKUP(Attack[[#This Row],[No用]],SetNo[[No.用]:[vlookup 用]],2,FALSE)</f>
        <v>197</v>
      </c>
      <c r="B785" s="14">
        <f>IF(ROW()=2,1,IF(A784&lt;&gt;Attack[[#This Row],[No]],1,B784+1))</f>
        <v>4</v>
      </c>
      <c r="C785" s="1" t="s">
        <v>1049</v>
      </c>
      <c r="D785" s="1" t="s">
        <v>283</v>
      </c>
      <c r="E785" s="1" t="s">
        <v>90</v>
      </c>
      <c r="F785" s="1" t="s">
        <v>78</v>
      </c>
      <c r="G785" s="1" t="s">
        <v>134</v>
      </c>
      <c r="H785" s="1" t="s">
        <v>71</v>
      </c>
      <c r="I785">
        <v>1</v>
      </c>
      <c r="J785" t="s">
        <v>235</v>
      </c>
      <c r="K785" s="1" t="s">
        <v>171</v>
      </c>
      <c r="L785" s="1" t="s">
        <v>162</v>
      </c>
      <c r="M785">
        <v>36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サバゲ星海光来ICONIC</v>
      </c>
    </row>
    <row r="786" spans="1:20" x14ac:dyDescent="0.35">
      <c r="A786">
        <f>VLOOKUP(Attack[[#This Row],[No用]],SetNo[[No.用]:[vlookup 用]],2,FALSE)</f>
        <v>197</v>
      </c>
      <c r="B786" s="14">
        <f>IF(ROW()=2,1,IF(A785&lt;&gt;Attack[[#This Row],[No]],1,B785+1))</f>
        <v>5</v>
      </c>
      <c r="C786" s="1" t="s">
        <v>1049</v>
      </c>
      <c r="D786" s="1" t="s">
        <v>283</v>
      </c>
      <c r="E786" s="1" t="s">
        <v>90</v>
      </c>
      <c r="F786" s="1" t="s">
        <v>78</v>
      </c>
      <c r="G786" s="1" t="s">
        <v>134</v>
      </c>
      <c r="H786" s="1" t="s">
        <v>71</v>
      </c>
      <c r="I786">
        <v>1</v>
      </c>
      <c r="J786" t="s">
        <v>235</v>
      </c>
      <c r="K786" s="1" t="s">
        <v>284</v>
      </c>
      <c r="L786" s="1" t="s">
        <v>178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サバゲ星海光来ICONIC</v>
      </c>
    </row>
    <row r="787" spans="1:20" x14ac:dyDescent="0.35">
      <c r="A787">
        <f>VLOOKUP(Attack[[#This Row],[No用]],SetNo[[No.用]:[vlookup 用]],2,FALSE)</f>
        <v>197</v>
      </c>
      <c r="B787" s="14">
        <f>IF(ROW()=2,1,IF(A786&lt;&gt;Attack[[#This Row],[No]],1,B786+1))</f>
        <v>6</v>
      </c>
      <c r="C787" s="1" t="s">
        <v>1049</v>
      </c>
      <c r="D787" s="1" t="s">
        <v>283</v>
      </c>
      <c r="E787" s="1" t="s">
        <v>90</v>
      </c>
      <c r="F787" s="1" t="s">
        <v>78</v>
      </c>
      <c r="G787" s="1" t="s">
        <v>134</v>
      </c>
      <c r="H787" s="1" t="s">
        <v>71</v>
      </c>
      <c r="I787">
        <v>1</v>
      </c>
      <c r="J787" t="s">
        <v>235</v>
      </c>
      <c r="K787" s="1" t="s">
        <v>172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サバゲ星海光来ICONIC</v>
      </c>
    </row>
    <row r="788" spans="1:20" x14ac:dyDescent="0.35">
      <c r="A788">
        <f>VLOOKUP(Attack[[#This Row],[No用]],SetNo[[No.用]:[vlookup 用]],2,FALSE)</f>
        <v>198</v>
      </c>
      <c r="B788" s="14">
        <f>IF(ROW()=2,1,IF(A787&lt;&gt;Attack[[#This Row],[No]],1,B787+1))</f>
        <v>1</v>
      </c>
      <c r="C788" t="s">
        <v>108</v>
      </c>
      <c r="D788" t="s">
        <v>133</v>
      </c>
      <c r="E788" t="s">
        <v>77</v>
      </c>
      <c r="F788" t="s">
        <v>82</v>
      </c>
      <c r="G788" t="s">
        <v>134</v>
      </c>
      <c r="H788" t="s">
        <v>71</v>
      </c>
      <c r="I788">
        <v>1</v>
      </c>
      <c r="J788" t="s">
        <v>235</v>
      </c>
      <c r="K788" s="1" t="s">
        <v>168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ユニフォーム昼神幸郎ICONIC</v>
      </c>
    </row>
    <row r="789" spans="1:20" x14ac:dyDescent="0.35">
      <c r="A789">
        <f>VLOOKUP(Attack[[#This Row],[No用]],SetNo[[No.用]:[vlookup 用]],2,FALSE)</f>
        <v>198</v>
      </c>
      <c r="B789" s="14">
        <f>IF(ROW()=2,1,IF(A788&lt;&gt;Attack[[#This Row],[No]],1,B788+1))</f>
        <v>2</v>
      </c>
      <c r="C789" t="s">
        <v>108</v>
      </c>
      <c r="D789" t="s">
        <v>133</v>
      </c>
      <c r="E789" t="s">
        <v>77</v>
      </c>
      <c r="F789" t="s">
        <v>82</v>
      </c>
      <c r="G789" t="s">
        <v>134</v>
      </c>
      <c r="H789" t="s">
        <v>71</v>
      </c>
      <c r="I789">
        <v>1</v>
      </c>
      <c r="J789" t="s">
        <v>235</v>
      </c>
      <c r="K789" s="1" t="s">
        <v>169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ユニフォーム昼神幸郎ICONIC</v>
      </c>
    </row>
    <row r="790" spans="1:20" x14ac:dyDescent="0.35">
      <c r="A790">
        <f>VLOOKUP(Attack[[#This Row],[No用]],SetNo[[No.用]:[vlookup 用]],2,FALSE)</f>
        <v>198</v>
      </c>
      <c r="B790" s="14">
        <f>IF(ROW()=2,1,IF(A789&lt;&gt;Attack[[#This Row],[No]],1,B789+1))</f>
        <v>3</v>
      </c>
      <c r="C790" t="s">
        <v>108</v>
      </c>
      <c r="D790" t="s">
        <v>133</v>
      </c>
      <c r="E790" t="s">
        <v>77</v>
      </c>
      <c r="F790" t="s">
        <v>82</v>
      </c>
      <c r="G790" t="s">
        <v>134</v>
      </c>
      <c r="H790" t="s">
        <v>71</v>
      </c>
      <c r="I790">
        <v>1</v>
      </c>
      <c r="J790" t="s">
        <v>235</v>
      </c>
      <c r="K790" s="1" t="s">
        <v>172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ユニフォーム昼神幸郎ICONIC</v>
      </c>
    </row>
    <row r="791" spans="1:20" x14ac:dyDescent="0.35">
      <c r="A791">
        <f>VLOOKUP(Attack[[#This Row],[No用]],SetNo[[No.用]:[vlookup 用]],2,FALSE)</f>
        <v>199</v>
      </c>
      <c r="B791" s="14">
        <f>IF(ROW()=2,1,IF(A790&lt;&gt;Attack[[#This Row],[No]],1,B790+1))</f>
        <v>1</v>
      </c>
      <c r="C791" s="1" t="s">
        <v>915</v>
      </c>
      <c r="D791" t="s">
        <v>133</v>
      </c>
      <c r="E791" s="1" t="s">
        <v>73</v>
      </c>
      <c r="F791" t="s">
        <v>82</v>
      </c>
      <c r="G791" t="s">
        <v>134</v>
      </c>
      <c r="H791" t="s">
        <v>71</v>
      </c>
      <c r="I791">
        <v>1</v>
      </c>
      <c r="J791" t="s">
        <v>235</v>
      </c>
      <c r="K791" s="1" t="s">
        <v>168</v>
      </c>
      <c r="L791" s="1" t="s">
        <v>178</v>
      </c>
      <c r="M791">
        <v>30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Xmas昼神幸郎ICONIC</v>
      </c>
    </row>
    <row r="792" spans="1:20" x14ac:dyDescent="0.35">
      <c r="A792">
        <f>VLOOKUP(Attack[[#This Row],[No用]],SetNo[[No.用]:[vlookup 用]],2,FALSE)</f>
        <v>199</v>
      </c>
      <c r="B792" s="14">
        <f>IF(ROW()=2,1,IF(A791&lt;&gt;Attack[[#This Row],[No]],1,B791+1))</f>
        <v>2</v>
      </c>
      <c r="C792" s="1" t="s">
        <v>915</v>
      </c>
      <c r="D792" t="s">
        <v>133</v>
      </c>
      <c r="E792" s="1" t="s">
        <v>73</v>
      </c>
      <c r="F792" t="s">
        <v>82</v>
      </c>
      <c r="G792" t="s">
        <v>134</v>
      </c>
      <c r="H792" t="s">
        <v>71</v>
      </c>
      <c r="I792">
        <v>1</v>
      </c>
      <c r="J792" t="s">
        <v>235</v>
      </c>
      <c r="K792" s="1" t="s">
        <v>169</v>
      </c>
      <c r="L792" s="1" t="s">
        <v>178</v>
      </c>
      <c r="M792">
        <v>30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Xmas昼神幸郎ICONIC</v>
      </c>
    </row>
    <row r="793" spans="1:20" x14ac:dyDescent="0.35">
      <c r="A793">
        <f>VLOOKUP(Attack[[#This Row],[No用]],SetNo[[No.用]:[vlookup 用]],2,FALSE)</f>
        <v>199</v>
      </c>
      <c r="B793" s="14">
        <f>IF(ROW()=2,1,IF(A792&lt;&gt;Attack[[#This Row],[No]],1,B792+1))</f>
        <v>3</v>
      </c>
      <c r="C793" s="1" t="s">
        <v>915</v>
      </c>
      <c r="D793" t="s">
        <v>133</v>
      </c>
      <c r="E793" s="1" t="s">
        <v>73</v>
      </c>
      <c r="F793" t="s">
        <v>82</v>
      </c>
      <c r="G793" t="s">
        <v>134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Xmas昼神幸郎ICONIC</v>
      </c>
    </row>
    <row r="794" spans="1:20" x14ac:dyDescent="0.35">
      <c r="A794">
        <f>VLOOKUP(Attack[[#This Row],[No用]],SetNo[[No.用]:[vlookup 用]],2,FALSE)</f>
        <v>200</v>
      </c>
      <c r="B794" s="14">
        <f>IF(ROW()=2,1,IF(A793&lt;&gt;Attack[[#This Row],[No]],1,B793+1))</f>
        <v>1</v>
      </c>
      <c r="C794" t="s">
        <v>108</v>
      </c>
      <c r="D794" t="s">
        <v>131</v>
      </c>
      <c r="E794" t="s">
        <v>77</v>
      </c>
      <c r="F794" t="s">
        <v>78</v>
      </c>
      <c r="G794" t="s">
        <v>135</v>
      </c>
      <c r="H794" t="s">
        <v>71</v>
      </c>
      <c r="I794">
        <v>1</v>
      </c>
      <c r="J794" t="s">
        <v>235</v>
      </c>
      <c r="K794" s="1" t="s">
        <v>168</v>
      </c>
      <c r="L794" s="1" t="s">
        <v>162</v>
      </c>
      <c r="M794">
        <v>36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ユニフォーム佐久早聖臣ICONIC</v>
      </c>
    </row>
    <row r="795" spans="1:20" x14ac:dyDescent="0.35">
      <c r="A795">
        <f>VLOOKUP(Attack[[#This Row],[No用]],SetNo[[No.用]:[vlookup 用]],2,FALSE)</f>
        <v>200</v>
      </c>
      <c r="B795" s="14">
        <f>IF(ROW()=2,1,IF(A794&lt;&gt;Attack[[#This Row],[No]],1,B794+1))</f>
        <v>2</v>
      </c>
      <c r="C795" t="s">
        <v>108</v>
      </c>
      <c r="D795" t="s">
        <v>131</v>
      </c>
      <c r="E795" t="s">
        <v>77</v>
      </c>
      <c r="F795" t="s">
        <v>78</v>
      </c>
      <c r="G795" t="s">
        <v>135</v>
      </c>
      <c r="H795" t="s">
        <v>71</v>
      </c>
      <c r="I795">
        <v>1</v>
      </c>
      <c r="J795" t="s">
        <v>235</v>
      </c>
      <c r="K795" s="1" t="s">
        <v>169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ユニフォーム佐久早聖臣ICONIC</v>
      </c>
    </row>
    <row r="796" spans="1:20" x14ac:dyDescent="0.35">
      <c r="A796">
        <f>VLOOKUP(Attack[[#This Row],[No用]],SetNo[[No.用]:[vlookup 用]],2,FALSE)</f>
        <v>200</v>
      </c>
      <c r="B796" s="14">
        <f>IF(ROW()=2,1,IF(A795&lt;&gt;Attack[[#This Row],[No]],1,B795+1))</f>
        <v>3</v>
      </c>
      <c r="C796" t="s">
        <v>108</v>
      </c>
      <c r="D796" t="s">
        <v>131</v>
      </c>
      <c r="E796" t="s">
        <v>77</v>
      </c>
      <c r="F796" t="s">
        <v>78</v>
      </c>
      <c r="G796" t="s">
        <v>135</v>
      </c>
      <c r="H796" t="s">
        <v>71</v>
      </c>
      <c r="I796">
        <v>1</v>
      </c>
      <c r="J796" t="s">
        <v>235</v>
      </c>
      <c r="K796" s="1" t="s">
        <v>170</v>
      </c>
      <c r="L796" s="1" t="s">
        <v>173</v>
      </c>
      <c r="M796">
        <v>39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ユニフォーム佐久早聖臣ICONIC</v>
      </c>
    </row>
    <row r="797" spans="1:20" x14ac:dyDescent="0.35">
      <c r="A797">
        <f>VLOOKUP(Attack[[#This Row],[No用]],SetNo[[No.用]:[vlookup 用]],2,FALSE)</f>
        <v>200</v>
      </c>
      <c r="B797" s="14">
        <f>IF(ROW()=2,1,IF(A796&lt;&gt;Attack[[#This Row],[No]],1,B796+1))</f>
        <v>4</v>
      </c>
      <c r="C797" t="s">
        <v>108</v>
      </c>
      <c r="D797" t="s">
        <v>131</v>
      </c>
      <c r="E797" t="s">
        <v>77</v>
      </c>
      <c r="F797" t="s">
        <v>78</v>
      </c>
      <c r="G797" t="s">
        <v>135</v>
      </c>
      <c r="H797" t="s">
        <v>71</v>
      </c>
      <c r="I797">
        <v>1</v>
      </c>
      <c r="J797" t="s">
        <v>235</v>
      </c>
      <c r="K797" s="1" t="s">
        <v>271</v>
      </c>
      <c r="L797" s="1" t="s">
        <v>173</v>
      </c>
      <c r="M797">
        <v>39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ユニフォーム佐久早聖臣ICONIC</v>
      </c>
    </row>
    <row r="798" spans="1:20" x14ac:dyDescent="0.35">
      <c r="A798">
        <f>VLOOKUP(Attack[[#This Row],[No用]],SetNo[[No.用]:[vlookup 用]],2,FALSE)</f>
        <v>200</v>
      </c>
      <c r="B798" s="14">
        <f>IF(ROW()=2,1,IF(A797&lt;&gt;Attack[[#This Row],[No]],1,B797+1))</f>
        <v>5</v>
      </c>
      <c r="C798" t="s">
        <v>108</v>
      </c>
      <c r="D798" t="s">
        <v>131</v>
      </c>
      <c r="E798" t="s">
        <v>77</v>
      </c>
      <c r="F798" t="s">
        <v>78</v>
      </c>
      <c r="G798" t="s">
        <v>135</v>
      </c>
      <c r="H798" t="s">
        <v>71</v>
      </c>
      <c r="I798">
        <v>1</v>
      </c>
      <c r="J798" t="s">
        <v>235</v>
      </c>
      <c r="K798" s="1" t="s">
        <v>171</v>
      </c>
      <c r="L798" s="1" t="s">
        <v>173</v>
      </c>
      <c r="M798">
        <v>39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ユニフォーム佐久早聖臣ICONIC</v>
      </c>
    </row>
    <row r="799" spans="1:20" x14ac:dyDescent="0.35">
      <c r="A799">
        <f>VLOOKUP(Attack[[#This Row],[No用]],SetNo[[No.用]:[vlookup 用]],2,FALSE)</f>
        <v>200</v>
      </c>
      <c r="B799" s="14">
        <f>IF(ROW()=2,1,IF(A798&lt;&gt;Attack[[#This Row],[No]],1,B798+1))</f>
        <v>6</v>
      </c>
      <c r="C799" t="s">
        <v>108</v>
      </c>
      <c r="D799" t="s">
        <v>131</v>
      </c>
      <c r="E799" t="s">
        <v>77</v>
      </c>
      <c r="F799" t="s">
        <v>78</v>
      </c>
      <c r="G799" t="s">
        <v>135</v>
      </c>
      <c r="H799" t="s">
        <v>71</v>
      </c>
      <c r="I799">
        <v>1</v>
      </c>
      <c r="J799" t="s">
        <v>235</v>
      </c>
      <c r="K799" s="1" t="s">
        <v>284</v>
      </c>
      <c r="L799" s="1" t="s">
        <v>173</v>
      </c>
      <c r="M799">
        <v>42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ユニフォーム佐久早聖臣ICONIC</v>
      </c>
    </row>
    <row r="800" spans="1:20" x14ac:dyDescent="0.35">
      <c r="A800">
        <f>VLOOKUP(Attack[[#This Row],[No用]],SetNo[[No.用]:[vlookup 用]],2,FALSE)</f>
        <v>200</v>
      </c>
      <c r="B800" s="14">
        <f>IF(ROW()=2,1,IF(A799&lt;&gt;Attack[[#This Row],[No]],1,B799+1))</f>
        <v>7</v>
      </c>
      <c r="C800" t="s">
        <v>108</v>
      </c>
      <c r="D800" t="s">
        <v>131</v>
      </c>
      <c r="E800" t="s">
        <v>77</v>
      </c>
      <c r="F800" t="s">
        <v>78</v>
      </c>
      <c r="G800" t="s">
        <v>135</v>
      </c>
      <c r="H800" t="s">
        <v>71</v>
      </c>
      <c r="I800">
        <v>1</v>
      </c>
      <c r="J800" t="s">
        <v>235</v>
      </c>
      <c r="K800" s="1" t="s">
        <v>172</v>
      </c>
      <c r="L800" s="1" t="s">
        <v>162</v>
      </c>
      <c r="M800">
        <v>33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ユニフォーム佐久早聖臣ICONIC</v>
      </c>
    </row>
    <row r="801" spans="1:20" x14ac:dyDescent="0.35">
      <c r="A801">
        <f>VLOOKUP(Attack[[#This Row],[No用]],SetNo[[No.用]:[vlookup 用]],2,FALSE)</f>
        <v>200</v>
      </c>
      <c r="B801" s="14">
        <f>IF(ROW()=2,1,IF(A800&lt;&gt;Attack[[#This Row],[No]],1,B800+1))</f>
        <v>8</v>
      </c>
      <c r="C801" t="s">
        <v>108</v>
      </c>
      <c r="D801" t="s">
        <v>131</v>
      </c>
      <c r="E801" t="s">
        <v>77</v>
      </c>
      <c r="F801" t="s">
        <v>78</v>
      </c>
      <c r="G801" t="s">
        <v>135</v>
      </c>
      <c r="H801" t="s">
        <v>71</v>
      </c>
      <c r="I801">
        <v>1</v>
      </c>
      <c r="J801" t="s">
        <v>235</v>
      </c>
      <c r="K801" s="1" t="s">
        <v>183</v>
      </c>
      <c r="L801" s="1" t="s">
        <v>225</v>
      </c>
      <c r="M801">
        <v>51</v>
      </c>
      <c r="N801">
        <v>0</v>
      </c>
      <c r="O801">
        <v>61</v>
      </c>
      <c r="P801">
        <v>0</v>
      </c>
      <c r="T801" t="str">
        <f>Attack[[#This Row],[服装]]&amp;Attack[[#This Row],[名前]]&amp;Attack[[#This Row],[レアリティ]]</f>
        <v>ユニフォーム佐久早聖臣ICONIC</v>
      </c>
    </row>
    <row r="802" spans="1:20" x14ac:dyDescent="0.35">
      <c r="A802">
        <f>VLOOKUP(Attack[[#This Row],[No用]],SetNo[[No.用]:[vlookup 用]],2,FALSE)</f>
        <v>201</v>
      </c>
      <c r="B802" s="14">
        <f>IF(ROW()=2,1,IF(A801&lt;&gt;Attack[[#This Row],[No]],1,B801+1))</f>
        <v>1</v>
      </c>
      <c r="C802" s="1" t="s">
        <v>1049</v>
      </c>
      <c r="D802" s="1" t="s">
        <v>131</v>
      </c>
      <c r="E802" s="1" t="s">
        <v>73</v>
      </c>
      <c r="F802" s="1" t="s">
        <v>78</v>
      </c>
      <c r="G802" s="1" t="s">
        <v>135</v>
      </c>
      <c r="H802" s="1" t="s">
        <v>71</v>
      </c>
      <c r="I802">
        <v>1</v>
      </c>
      <c r="J802" t="s">
        <v>235</v>
      </c>
      <c r="K802" s="1" t="s">
        <v>168</v>
      </c>
      <c r="L802" s="1" t="s">
        <v>178</v>
      </c>
      <c r="M802">
        <v>37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サバゲ佐久早聖臣ICONIC</v>
      </c>
    </row>
    <row r="803" spans="1:20" x14ac:dyDescent="0.35">
      <c r="A803">
        <f>VLOOKUP(Attack[[#This Row],[No用]],SetNo[[No.用]:[vlookup 用]],2,FALSE)</f>
        <v>201</v>
      </c>
      <c r="B803" s="14">
        <f>IF(ROW()=2,1,IF(A802&lt;&gt;Attack[[#This Row],[No]],1,B802+1))</f>
        <v>2</v>
      </c>
      <c r="C803" s="1" t="s">
        <v>1049</v>
      </c>
      <c r="D803" s="1" t="s">
        <v>131</v>
      </c>
      <c r="E803" s="1" t="s">
        <v>73</v>
      </c>
      <c r="F803" s="1" t="s">
        <v>78</v>
      </c>
      <c r="G803" s="1" t="s">
        <v>135</v>
      </c>
      <c r="H803" s="1" t="s">
        <v>71</v>
      </c>
      <c r="I803">
        <v>1</v>
      </c>
      <c r="J803" t="s">
        <v>235</v>
      </c>
      <c r="K803" s="1" t="s">
        <v>169</v>
      </c>
      <c r="L803" s="1" t="s">
        <v>178</v>
      </c>
      <c r="M803">
        <v>37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サバゲ佐久早聖臣ICONIC</v>
      </c>
    </row>
    <row r="804" spans="1:20" x14ac:dyDescent="0.35">
      <c r="A804">
        <f>VLOOKUP(Attack[[#This Row],[No用]],SetNo[[No.用]:[vlookup 用]],2,FALSE)</f>
        <v>201</v>
      </c>
      <c r="B804" s="14">
        <f>IF(ROW()=2,1,IF(A803&lt;&gt;Attack[[#This Row],[No]],1,B803+1))</f>
        <v>3</v>
      </c>
      <c r="C804" s="1" t="s">
        <v>1049</v>
      </c>
      <c r="D804" s="1" t="s">
        <v>131</v>
      </c>
      <c r="E804" s="1" t="s">
        <v>73</v>
      </c>
      <c r="F804" s="1" t="s">
        <v>78</v>
      </c>
      <c r="G804" s="1" t="s">
        <v>135</v>
      </c>
      <c r="H804" s="1" t="s">
        <v>71</v>
      </c>
      <c r="I804">
        <v>1</v>
      </c>
      <c r="J804" t="s">
        <v>235</v>
      </c>
      <c r="K804" s="1" t="s">
        <v>170</v>
      </c>
      <c r="L804" s="1" t="s">
        <v>173</v>
      </c>
      <c r="M804">
        <v>39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サバゲ佐久早聖臣ICONIC</v>
      </c>
    </row>
    <row r="805" spans="1:20" x14ac:dyDescent="0.35">
      <c r="A805">
        <f>VLOOKUP(Attack[[#This Row],[No用]],SetNo[[No.用]:[vlookup 用]],2,FALSE)</f>
        <v>201</v>
      </c>
      <c r="B805" s="14">
        <f>IF(ROW()=2,1,IF(A804&lt;&gt;Attack[[#This Row],[No]],1,B804+1))</f>
        <v>4</v>
      </c>
      <c r="C805" s="1" t="s">
        <v>1049</v>
      </c>
      <c r="D805" s="1" t="s">
        <v>131</v>
      </c>
      <c r="E805" s="1" t="s">
        <v>73</v>
      </c>
      <c r="F805" s="1" t="s">
        <v>78</v>
      </c>
      <c r="G805" s="1" t="s">
        <v>135</v>
      </c>
      <c r="H805" s="1" t="s">
        <v>71</v>
      </c>
      <c r="I805">
        <v>1</v>
      </c>
      <c r="J805" t="s">
        <v>235</v>
      </c>
      <c r="K805" s="1" t="s">
        <v>271</v>
      </c>
      <c r="L805" s="1" t="s">
        <v>173</v>
      </c>
      <c r="M805">
        <v>39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サバゲ佐久早聖臣ICONIC</v>
      </c>
    </row>
    <row r="806" spans="1:20" x14ac:dyDescent="0.35">
      <c r="A806">
        <f>VLOOKUP(Attack[[#This Row],[No用]],SetNo[[No.用]:[vlookup 用]],2,FALSE)</f>
        <v>201</v>
      </c>
      <c r="B806" s="14">
        <f>IF(ROW()=2,1,IF(A805&lt;&gt;Attack[[#This Row],[No]],1,B805+1))</f>
        <v>5</v>
      </c>
      <c r="C806" s="1" t="s">
        <v>1049</v>
      </c>
      <c r="D806" s="1" t="s">
        <v>131</v>
      </c>
      <c r="E806" s="1" t="s">
        <v>73</v>
      </c>
      <c r="F806" s="1" t="s">
        <v>78</v>
      </c>
      <c r="G806" s="1" t="s">
        <v>135</v>
      </c>
      <c r="H806" s="1" t="s">
        <v>71</v>
      </c>
      <c r="I806">
        <v>1</v>
      </c>
      <c r="J806" t="s">
        <v>235</v>
      </c>
      <c r="K806" s="1" t="s">
        <v>171</v>
      </c>
      <c r="L806" s="1" t="s">
        <v>173</v>
      </c>
      <c r="M806">
        <v>39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サバゲ佐久早聖臣ICONIC</v>
      </c>
    </row>
    <row r="807" spans="1:20" x14ac:dyDescent="0.35">
      <c r="A807">
        <f>VLOOKUP(Attack[[#This Row],[No用]],SetNo[[No.用]:[vlookup 用]],2,FALSE)</f>
        <v>201</v>
      </c>
      <c r="B807" s="14">
        <f>IF(ROW()=2,1,IF(A806&lt;&gt;Attack[[#This Row],[No]],1,B806+1))</f>
        <v>6</v>
      </c>
      <c r="C807" s="1" t="s">
        <v>1049</v>
      </c>
      <c r="D807" s="1" t="s">
        <v>131</v>
      </c>
      <c r="E807" s="1" t="s">
        <v>73</v>
      </c>
      <c r="F807" s="1" t="s">
        <v>78</v>
      </c>
      <c r="G807" s="1" t="s">
        <v>135</v>
      </c>
      <c r="H807" s="1" t="s">
        <v>71</v>
      </c>
      <c r="I807">
        <v>1</v>
      </c>
      <c r="J807" t="s">
        <v>235</v>
      </c>
      <c r="K807" s="1" t="s">
        <v>284</v>
      </c>
      <c r="L807" s="1" t="s">
        <v>173</v>
      </c>
      <c r="M807">
        <v>42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サバゲ佐久早聖臣ICONIC</v>
      </c>
    </row>
    <row r="808" spans="1:20" x14ac:dyDescent="0.35">
      <c r="A808">
        <f>VLOOKUP(Attack[[#This Row],[No用]],SetNo[[No.用]:[vlookup 用]],2,FALSE)</f>
        <v>201</v>
      </c>
      <c r="B808" s="14">
        <f>IF(ROW()=2,1,IF(A807&lt;&gt;Attack[[#This Row],[No]],1,B807+1))</f>
        <v>7</v>
      </c>
      <c r="C808" s="1" t="s">
        <v>1049</v>
      </c>
      <c r="D808" s="1" t="s">
        <v>131</v>
      </c>
      <c r="E808" s="1" t="s">
        <v>73</v>
      </c>
      <c r="F808" s="1" t="s">
        <v>78</v>
      </c>
      <c r="G808" s="1" t="s">
        <v>135</v>
      </c>
      <c r="H808" s="1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サバゲ佐久早聖臣ICONIC</v>
      </c>
    </row>
    <row r="809" spans="1:20" x14ac:dyDescent="0.35">
      <c r="A809">
        <f>VLOOKUP(Attack[[#This Row],[No用]],SetNo[[No.用]:[vlookup 用]],2,FALSE)</f>
        <v>201</v>
      </c>
      <c r="B809" s="14">
        <f>IF(ROW()=2,1,IF(A808&lt;&gt;Attack[[#This Row],[No]],1,B808+1))</f>
        <v>8</v>
      </c>
      <c r="C809" s="1" t="s">
        <v>1049</v>
      </c>
      <c r="D809" s="1" t="s">
        <v>131</v>
      </c>
      <c r="E809" s="1" t="s">
        <v>73</v>
      </c>
      <c r="F809" s="1" t="s">
        <v>78</v>
      </c>
      <c r="G809" s="1" t="s">
        <v>135</v>
      </c>
      <c r="H809" s="1" t="s">
        <v>71</v>
      </c>
      <c r="I809">
        <v>1</v>
      </c>
      <c r="J809" t="s">
        <v>235</v>
      </c>
      <c r="K809" s="1" t="s">
        <v>284</v>
      </c>
      <c r="L809" s="1" t="s">
        <v>225</v>
      </c>
      <c r="M809">
        <v>51</v>
      </c>
      <c r="N809">
        <v>0</v>
      </c>
      <c r="O809">
        <v>61</v>
      </c>
      <c r="P809">
        <v>0</v>
      </c>
      <c r="T809" t="str">
        <f>Attack[[#This Row],[服装]]&amp;Attack[[#This Row],[名前]]&amp;Attack[[#This Row],[レアリティ]]</f>
        <v>サバゲ佐久早聖臣ICONIC</v>
      </c>
    </row>
    <row r="810" spans="1:20" x14ac:dyDescent="0.35">
      <c r="A810">
        <f>VLOOKUP(Attack[[#This Row],[No用]],SetNo[[No.用]:[vlookup 用]],2,FALSE)</f>
        <v>201</v>
      </c>
      <c r="B810" s="14">
        <f>IF(ROW()=2,1,IF(A809&lt;&gt;Attack[[#This Row],[No]],1,B809+1))</f>
        <v>9</v>
      </c>
      <c r="C810" s="1" t="s">
        <v>1049</v>
      </c>
      <c r="D810" s="1" t="s">
        <v>131</v>
      </c>
      <c r="E810" s="1" t="s">
        <v>73</v>
      </c>
      <c r="F810" s="1" t="s">
        <v>78</v>
      </c>
      <c r="G810" s="1" t="s">
        <v>135</v>
      </c>
      <c r="H810" s="1" t="s">
        <v>71</v>
      </c>
      <c r="I810">
        <v>1</v>
      </c>
      <c r="J810" t="s">
        <v>235</v>
      </c>
      <c r="K810" s="1" t="s">
        <v>171</v>
      </c>
      <c r="L810" s="1" t="s">
        <v>225</v>
      </c>
      <c r="M810">
        <v>51</v>
      </c>
      <c r="N810">
        <v>0</v>
      </c>
      <c r="O810">
        <v>61</v>
      </c>
      <c r="P810">
        <v>0</v>
      </c>
      <c r="T810" t="str">
        <f>Attack[[#This Row],[服装]]&amp;Attack[[#This Row],[名前]]&amp;Attack[[#This Row],[レアリティ]]</f>
        <v>サバゲ佐久早聖臣ICONIC</v>
      </c>
    </row>
    <row r="811" spans="1:20" x14ac:dyDescent="0.35">
      <c r="A811">
        <f>VLOOKUP(Attack[[#This Row],[No用]],SetNo[[No.用]:[vlookup 用]],2,FALSE)</f>
        <v>202</v>
      </c>
      <c r="B811" s="14">
        <f>IF(ROW()=2,1,IF(A810&lt;&gt;Attack[[#This Row],[No]],1,B810+1))</f>
        <v>1</v>
      </c>
      <c r="C811" t="s">
        <v>108</v>
      </c>
      <c r="D811" t="s">
        <v>132</v>
      </c>
      <c r="E811" t="s">
        <v>77</v>
      </c>
      <c r="F811" t="s">
        <v>80</v>
      </c>
      <c r="G811" t="s">
        <v>135</v>
      </c>
      <c r="H811" t="s">
        <v>71</v>
      </c>
      <c r="I811">
        <v>1</v>
      </c>
      <c r="J811" t="s">
        <v>235</v>
      </c>
      <c r="M811">
        <v>0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ユニフォーム小森元也ICONIC</v>
      </c>
    </row>
    <row r="812" spans="1:20" x14ac:dyDescent="0.35">
      <c r="A812">
        <f>VLOOKUP(Attack[[#This Row],[No用]],SetNo[[No.用]:[vlookup 用]],2,FALSE)</f>
        <v>203</v>
      </c>
      <c r="B812" s="14">
        <f>IF(ROW()=2,1,IF(A811&lt;&gt;Attack[[#This Row],[No]],1,B811+1))</f>
        <v>1</v>
      </c>
      <c r="C812" t="s">
        <v>108</v>
      </c>
      <c r="D812" s="1" t="s">
        <v>687</v>
      </c>
      <c r="E812" s="1" t="s">
        <v>90</v>
      </c>
      <c r="F812" s="1" t="s">
        <v>78</v>
      </c>
      <c r="G812" s="1" t="s">
        <v>689</v>
      </c>
      <c r="H812" t="s">
        <v>71</v>
      </c>
      <c r="I812">
        <v>1</v>
      </c>
      <c r="J812" t="s">
        <v>235</v>
      </c>
      <c r="K812" s="1" t="s">
        <v>168</v>
      </c>
      <c r="L812" s="1" t="s">
        <v>173</v>
      </c>
      <c r="M812">
        <v>34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ユニフォーム大将優ICONIC</v>
      </c>
    </row>
    <row r="813" spans="1:20" x14ac:dyDescent="0.35">
      <c r="A813">
        <f>VLOOKUP(Attack[[#This Row],[No用]],SetNo[[No.用]:[vlookup 用]],2,FALSE)</f>
        <v>203</v>
      </c>
      <c r="B813" s="14">
        <f>IF(ROW()=2,1,IF(A812&lt;&gt;Attack[[#This Row],[No]],1,B812+1))</f>
        <v>2</v>
      </c>
      <c r="C813" t="s">
        <v>108</v>
      </c>
      <c r="D813" s="1" t="s">
        <v>687</v>
      </c>
      <c r="E813" s="1" t="s">
        <v>90</v>
      </c>
      <c r="F813" s="1" t="s">
        <v>78</v>
      </c>
      <c r="G813" s="1" t="s">
        <v>689</v>
      </c>
      <c r="H813" t="s">
        <v>71</v>
      </c>
      <c r="I813">
        <v>1</v>
      </c>
      <c r="J813" t="s">
        <v>403</v>
      </c>
      <c r="K813" s="1" t="s">
        <v>169</v>
      </c>
      <c r="L813" s="1" t="s">
        <v>173</v>
      </c>
      <c r="M813">
        <v>34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ユニフォーム大将優ICONIC</v>
      </c>
    </row>
    <row r="814" spans="1:20" x14ac:dyDescent="0.35">
      <c r="A814">
        <f>VLOOKUP(Attack[[#This Row],[No用]],SetNo[[No.用]:[vlookup 用]],2,FALSE)</f>
        <v>203</v>
      </c>
      <c r="B814" s="14">
        <f>IF(ROW()=2,1,IF(A813&lt;&gt;Attack[[#This Row],[No]],1,B813+1))</f>
        <v>3</v>
      </c>
      <c r="C814" t="s">
        <v>108</v>
      </c>
      <c r="D814" s="1" t="s">
        <v>687</v>
      </c>
      <c r="E814" s="1" t="s">
        <v>90</v>
      </c>
      <c r="F814" s="1" t="s">
        <v>78</v>
      </c>
      <c r="G814" s="1" t="s">
        <v>689</v>
      </c>
      <c r="H814" t="s">
        <v>71</v>
      </c>
      <c r="I814">
        <v>1</v>
      </c>
      <c r="J814" t="s">
        <v>235</v>
      </c>
      <c r="K814" s="1" t="s">
        <v>271</v>
      </c>
      <c r="L814" s="1" t="s">
        <v>173</v>
      </c>
      <c r="M814">
        <v>37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ユニフォーム大将優ICONIC</v>
      </c>
    </row>
    <row r="815" spans="1:20" x14ac:dyDescent="0.35">
      <c r="A815">
        <f>VLOOKUP(Attack[[#This Row],[No用]],SetNo[[No.用]:[vlookup 用]],2,FALSE)</f>
        <v>203</v>
      </c>
      <c r="B815" s="14">
        <f>IF(ROW()=2,1,IF(A814&lt;&gt;Attack[[#This Row],[No]],1,B814+1))</f>
        <v>4</v>
      </c>
      <c r="C815" t="s">
        <v>108</v>
      </c>
      <c r="D815" s="1" t="s">
        <v>687</v>
      </c>
      <c r="E815" s="1" t="s">
        <v>90</v>
      </c>
      <c r="F815" s="1" t="s">
        <v>78</v>
      </c>
      <c r="G815" s="1" t="s">
        <v>689</v>
      </c>
      <c r="H815" t="s">
        <v>71</v>
      </c>
      <c r="I815">
        <v>1</v>
      </c>
      <c r="J815" t="s">
        <v>235</v>
      </c>
      <c r="K815" s="1" t="s">
        <v>172</v>
      </c>
      <c r="L815" s="1" t="s">
        <v>162</v>
      </c>
      <c r="M815">
        <v>31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ユニフォーム大将優ICONIC</v>
      </c>
    </row>
    <row r="816" spans="1:20" x14ac:dyDescent="0.35">
      <c r="A816">
        <f>VLOOKUP(Attack[[#This Row],[No用]],SetNo[[No.用]:[vlookup 用]],2,FALSE)</f>
        <v>203</v>
      </c>
      <c r="B816" s="14">
        <f>IF(ROW()=2,1,IF(A815&lt;&gt;Attack[[#This Row],[No]],1,B815+1))</f>
        <v>5</v>
      </c>
      <c r="C816" t="s">
        <v>108</v>
      </c>
      <c r="D816" s="1" t="s">
        <v>687</v>
      </c>
      <c r="E816" s="1" t="s">
        <v>90</v>
      </c>
      <c r="F816" s="1" t="s">
        <v>78</v>
      </c>
      <c r="G816" s="1" t="s">
        <v>689</v>
      </c>
      <c r="H816" t="s">
        <v>71</v>
      </c>
      <c r="I816">
        <v>1</v>
      </c>
      <c r="J816" t="s">
        <v>403</v>
      </c>
      <c r="K816" s="1" t="s">
        <v>183</v>
      </c>
      <c r="L816" s="1" t="s">
        <v>225</v>
      </c>
      <c r="M816">
        <v>49</v>
      </c>
      <c r="N816">
        <v>0</v>
      </c>
      <c r="O816">
        <v>59</v>
      </c>
      <c r="P816">
        <v>0</v>
      </c>
      <c r="T816" t="str">
        <f>Attack[[#This Row],[服装]]&amp;Attack[[#This Row],[名前]]&amp;Attack[[#This Row],[レアリティ]]</f>
        <v>ユニフォーム大将優ICONIC</v>
      </c>
    </row>
    <row r="817" spans="1:20" x14ac:dyDescent="0.35">
      <c r="A817">
        <f>VLOOKUP(Attack[[#This Row],[No用]],SetNo[[No.用]:[vlookup 用]],2,FALSE)</f>
        <v>204</v>
      </c>
      <c r="B817" s="14">
        <f>IF(ROW()=2,1,IF(A816&lt;&gt;Attack[[#This Row],[No]],1,B816+1))</f>
        <v>1</v>
      </c>
      <c r="C817" s="1" t="s">
        <v>935</v>
      </c>
      <c r="D817" s="1" t="s">
        <v>687</v>
      </c>
      <c r="E817" s="1" t="s">
        <v>77</v>
      </c>
      <c r="F817" s="1" t="s">
        <v>78</v>
      </c>
      <c r="G817" s="1" t="s">
        <v>689</v>
      </c>
      <c r="H817" s="1" t="s">
        <v>690</v>
      </c>
      <c r="I817">
        <v>1</v>
      </c>
      <c r="J817" t="s">
        <v>235</v>
      </c>
      <c r="K817" s="1" t="s">
        <v>168</v>
      </c>
      <c r="L817" s="1" t="s">
        <v>173</v>
      </c>
      <c r="M817">
        <v>34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新年大将優ICONIC</v>
      </c>
    </row>
    <row r="818" spans="1:20" x14ac:dyDescent="0.35">
      <c r="A818">
        <f>VLOOKUP(Attack[[#This Row],[No用]],SetNo[[No.用]:[vlookup 用]],2,FALSE)</f>
        <v>204</v>
      </c>
      <c r="B818" s="14">
        <f>IF(ROW()=2,1,IF(A817&lt;&gt;Attack[[#This Row],[No]],1,B817+1))</f>
        <v>2</v>
      </c>
      <c r="C818" s="1" t="s">
        <v>935</v>
      </c>
      <c r="D818" s="1" t="s">
        <v>687</v>
      </c>
      <c r="E818" s="1" t="s">
        <v>77</v>
      </c>
      <c r="F818" s="1" t="s">
        <v>78</v>
      </c>
      <c r="G818" s="1" t="s">
        <v>689</v>
      </c>
      <c r="H818" s="1" t="s">
        <v>690</v>
      </c>
      <c r="I818">
        <v>1</v>
      </c>
      <c r="J818" t="s">
        <v>235</v>
      </c>
      <c r="K818" s="1" t="s">
        <v>169</v>
      </c>
      <c r="L818" s="1" t="s">
        <v>173</v>
      </c>
      <c r="M818">
        <v>34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新年大将優ICONIC</v>
      </c>
    </row>
    <row r="819" spans="1:20" x14ac:dyDescent="0.35">
      <c r="A819">
        <f>VLOOKUP(Attack[[#This Row],[No用]],SetNo[[No.用]:[vlookup 用]],2,FALSE)</f>
        <v>204</v>
      </c>
      <c r="B819" s="14">
        <f>IF(ROW()=2,1,IF(A818&lt;&gt;Attack[[#This Row],[No]],1,B818+1))</f>
        <v>3</v>
      </c>
      <c r="C819" s="1" t="s">
        <v>935</v>
      </c>
      <c r="D819" s="1" t="s">
        <v>687</v>
      </c>
      <c r="E819" s="1" t="s">
        <v>77</v>
      </c>
      <c r="F819" s="1" t="s">
        <v>78</v>
      </c>
      <c r="G819" s="1" t="s">
        <v>689</v>
      </c>
      <c r="H819" s="1" t="s">
        <v>690</v>
      </c>
      <c r="I819">
        <v>1</v>
      </c>
      <c r="J819" t="s">
        <v>403</v>
      </c>
      <c r="K819" s="1" t="s">
        <v>271</v>
      </c>
      <c r="L819" s="1" t="s">
        <v>173</v>
      </c>
      <c r="M819">
        <v>37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新年大将優ICONIC</v>
      </c>
    </row>
    <row r="820" spans="1:20" x14ac:dyDescent="0.35">
      <c r="A820">
        <f>VLOOKUP(Attack[[#This Row],[No用]],SetNo[[No.用]:[vlookup 用]],2,FALSE)</f>
        <v>204</v>
      </c>
      <c r="B820" s="14">
        <f>IF(ROW()=2,1,IF(A819&lt;&gt;Attack[[#This Row],[No]],1,B819+1))</f>
        <v>4</v>
      </c>
      <c r="C820" s="1" t="s">
        <v>935</v>
      </c>
      <c r="D820" s="1" t="s">
        <v>687</v>
      </c>
      <c r="E820" s="1" t="s">
        <v>77</v>
      </c>
      <c r="F820" s="1" t="s">
        <v>78</v>
      </c>
      <c r="G820" s="1" t="s">
        <v>689</v>
      </c>
      <c r="H820" s="1" t="s">
        <v>690</v>
      </c>
      <c r="I820">
        <v>1</v>
      </c>
      <c r="J820" t="s">
        <v>235</v>
      </c>
      <c r="K820" s="1" t="s">
        <v>171</v>
      </c>
      <c r="L820" s="1" t="s">
        <v>178</v>
      </c>
      <c r="M820">
        <v>31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新年大将優ICONIC</v>
      </c>
    </row>
    <row r="821" spans="1:20" x14ac:dyDescent="0.35">
      <c r="A821">
        <f>VLOOKUP(Attack[[#This Row],[No用]],SetNo[[No.用]:[vlookup 用]],2,FALSE)</f>
        <v>204</v>
      </c>
      <c r="B821" s="14">
        <f>IF(ROW()=2,1,IF(A820&lt;&gt;Attack[[#This Row],[No]],1,B820+1))</f>
        <v>5</v>
      </c>
      <c r="C821" s="1" t="s">
        <v>935</v>
      </c>
      <c r="D821" s="1" t="s">
        <v>687</v>
      </c>
      <c r="E821" s="1" t="s">
        <v>77</v>
      </c>
      <c r="F821" s="1" t="s">
        <v>78</v>
      </c>
      <c r="G821" s="1" t="s">
        <v>689</v>
      </c>
      <c r="H821" s="1" t="s">
        <v>690</v>
      </c>
      <c r="I821">
        <v>1</v>
      </c>
      <c r="J821" t="s">
        <v>235</v>
      </c>
      <c r="K821" s="1" t="s">
        <v>172</v>
      </c>
      <c r="L821" s="1" t="s">
        <v>162</v>
      </c>
      <c r="M821">
        <v>31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新年大将優ICONIC</v>
      </c>
    </row>
    <row r="822" spans="1:20" x14ac:dyDescent="0.35">
      <c r="A822">
        <f>VLOOKUP(Attack[[#This Row],[No用]],SetNo[[No.用]:[vlookup 用]],2,FALSE)</f>
        <v>204</v>
      </c>
      <c r="B822" s="14">
        <f>IF(ROW()=2,1,IF(A821&lt;&gt;Attack[[#This Row],[No]],1,B821+1))</f>
        <v>6</v>
      </c>
      <c r="C822" s="1" t="s">
        <v>935</v>
      </c>
      <c r="D822" s="1" t="s">
        <v>687</v>
      </c>
      <c r="E822" s="1" t="s">
        <v>77</v>
      </c>
      <c r="F822" s="1" t="s">
        <v>78</v>
      </c>
      <c r="G822" s="1" t="s">
        <v>689</v>
      </c>
      <c r="H822" s="1" t="s">
        <v>690</v>
      </c>
      <c r="I822">
        <v>1</v>
      </c>
      <c r="J822" t="s">
        <v>403</v>
      </c>
      <c r="K822" s="1" t="s">
        <v>171</v>
      </c>
      <c r="L822" s="1" t="s">
        <v>225</v>
      </c>
      <c r="M822">
        <v>49</v>
      </c>
      <c r="N822">
        <v>0</v>
      </c>
      <c r="O822">
        <v>59</v>
      </c>
      <c r="P822">
        <v>0</v>
      </c>
      <c r="T822" t="str">
        <f>Attack[[#This Row],[服装]]&amp;Attack[[#This Row],[名前]]&amp;Attack[[#This Row],[レアリティ]]</f>
        <v>新年大将優ICONIC</v>
      </c>
    </row>
    <row r="823" spans="1:20" x14ac:dyDescent="0.35">
      <c r="A823">
        <f>VLOOKUP(Attack[[#This Row],[No用]],SetNo[[No.用]:[vlookup 用]],2,FALSE)</f>
        <v>204</v>
      </c>
      <c r="B823" s="14">
        <f>IF(ROW()=2,1,IF(A822&lt;&gt;Attack[[#This Row],[No]],1,B822+1))</f>
        <v>7</v>
      </c>
      <c r="C823" s="1" t="s">
        <v>935</v>
      </c>
      <c r="D823" s="1" t="s">
        <v>687</v>
      </c>
      <c r="E823" s="1" t="s">
        <v>77</v>
      </c>
      <c r="F823" s="1" t="s">
        <v>78</v>
      </c>
      <c r="G823" s="1" t="s">
        <v>689</v>
      </c>
      <c r="H823" s="1" t="s">
        <v>690</v>
      </c>
      <c r="I823">
        <v>1</v>
      </c>
      <c r="J823" t="s">
        <v>235</v>
      </c>
      <c r="K823" s="1" t="s">
        <v>271</v>
      </c>
      <c r="L823" s="1" t="s">
        <v>225</v>
      </c>
      <c r="M823">
        <v>49</v>
      </c>
      <c r="N823">
        <v>0</v>
      </c>
      <c r="O823">
        <v>59</v>
      </c>
      <c r="P823">
        <v>0</v>
      </c>
      <c r="T823" t="str">
        <f>Attack[[#This Row],[服装]]&amp;Attack[[#This Row],[名前]]&amp;Attack[[#This Row],[レアリティ]]</f>
        <v>新年大将優ICONIC</v>
      </c>
    </row>
    <row r="824" spans="1:20" x14ac:dyDescent="0.35">
      <c r="A824">
        <f>VLOOKUP(Attack[[#This Row],[No用]],SetNo[[No.用]:[vlookup 用]],2,FALSE)</f>
        <v>205</v>
      </c>
      <c r="B824" s="14">
        <f>IF(ROW()=2,1,IF(A823&lt;&gt;Attack[[#This Row],[No]],1,B823+1))</f>
        <v>1</v>
      </c>
      <c r="C824" t="s">
        <v>108</v>
      </c>
      <c r="D824" s="1" t="s">
        <v>692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235</v>
      </c>
      <c r="K824" s="1" t="s">
        <v>168</v>
      </c>
      <c r="L824" s="1" t="s">
        <v>173</v>
      </c>
      <c r="M824">
        <v>36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ユニフォーム沼井和馬ICONIC</v>
      </c>
    </row>
    <row r="825" spans="1:20" x14ac:dyDescent="0.35">
      <c r="A825">
        <f>VLOOKUP(Attack[[#This Row],[No用]],SetNo[[No.用]:[vlookup 用]],2,FALSE)</f>
        <v>205</v>
      </c>
      <c r="B825" s="14">
        <f>IF(ROW()=2,1,IF(A824&lt;&gt;Attack[[#This Row],[No]],1,B824+1))</f>
        <v>2</v>
      </c>
      <c r="C825" t="s">
        <v>108</v>
      </c>
      <c r="D825" s="1" t="s">
        <v>692</v>
      </c>
      <c r="E825" s="1" t="s">
        <v>90</v>
      </c>
      <c r="F825" s="1" t="s">
        <v>78</v>
      </c>
      <c r="G825" s="1" t="s">
        <v>689</v>
      </c>
      <c r="H825" t="s">
        <v>71</v>
      </c>
      <c r="I825">
        <v>1</v>
      </c>
      <c r="J825" t="s">
        <v>235</v>
      </c>
      <c r="K825" s="1" t="s">
        <v>169</v>
      </c>
      <c r="L825" s="1" t="s">
        <v>178</v>
      </c>
      <c r="M825">
        <v>36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ユニフォーム沼井和馬ICONIC</v>
      </c>
    </row>
    <row r="826" spans="1:20" x14ac:dyDescent="0.35">
      <c r="A826">
        <f>VLOOKUP(Attack[[#This Row],[No用]],SetNo[[No.用]:[vlookup 用]],2,FALSE)</f>
        <v>206</v>
      </c>
      <c r="B826" s="14">
        <f>IF(ROW()=2,1,IF(A825&lt;&gt;Attack[[#This Row],[No]],1,B825+1))</f>
        <v>1</v>
      </c>
      <c r="C826" t="s">
        <v>108</v>
      </c>
      <c r="D826" s="1" t="s">
        <v>858</v>
      </c>
      <c r="E826" s="1" t="s">
        <v>90</v>
      </c>
      <c r="F826" s="1" t="s">
        <v>78</v>
      </c>
      <c r="G826" s="1" t="s">
        <v>689</v>
      </c>
      <c r="H826" t="s">
        <v>71</v>
      </c>
      <c r="I826">
        <v>1</v>
      </c>
      <c r="J826" t="s">
        <v>403</v>
      </c>
      <c r="K826" s="1" t="s">
        <v>168</v>
      </c>
      <c r="L826" s="1" t="s">
        <v>178</v>
      </c>
      <c r="M826">
        <v>35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ユニフォーム潜尚保ICONIC</v>
      </c>
    </row>
    <row r="827" spans="1:20" x14ac:dyDescent="0.35">
      <c r="A827">
        <f>VLOOKUP(Attack[[#This Row],[No用]],SetNo[[No.用]:[vlookup 用]],2,FALSE)</f>
        <v>206</v>
      </c>
      <c r="B827" s="14">
        <f>IF(ROW()=2,1,IF(A826&lt;&gt;Attack[[#This Row],[No]],1,B826+1))</f>
        <v>2</v>
      </c>
      <c r="C827" t="s">
        <v>108</v>
      </c>
      <c r="D827" s="1" t="s">
        <v>858</v>
      </c>
      <c r="E827" s="1" t="s">
        <v>90</v>
      </c>
      <c r="F827" s="1" t="s">
        <v>78</v>
      </c>
      <c r="G827" s="1" t="s">
        <v>689</v>
      </c>
      <c r="H827" t="s">
        <v>71</v>
      </c>
      <c r="I827">
        <v>1</v>
      </c>
      <c r="J827" t="s">
        <v>235</v>
      </c>
      <c r="K827" s="1" t="s">
        <v>169</v>
      </c>
      <c r="L827" s="1" t="s">
        <v>178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ユニフォーム潜尚保ICONIC</v>
      </c>
    </row>
    <row r="828" spans="1:20" x14ac:dyDescent="0.35">
      <c r="A828">
        <f>VLOOKUP(Attack[[#This Row],[No用]],SetNo[[No.用]:[vlookup 用]],2,FALSE)</f>
        <v>206</v>
      </c>
      <c r="B828" s="14">
        <f>IF(ROW()=2,1,IF(A827&lt;&gt;Attack[[#This Row],[No]],1,B827+1))</f>
        <v>3</v>
      </c>
      <c r="C828" t="s">
        <v>108</v>
      </c>
      <c r="D828" s="1" t="s">
        <v>858</v>
      </c>
      <c r="E828" s="1" t="s">
        <v>90</v>
      </c>
      <c r="F828" s="1" t="s">
        <v>78</v>
      </c>
      <c r="G828" s="1" t="s">
        <v>689</v>
      </c>
      <c r="H828" t="s">
        <v>71</v>
      </c>
      <c r="I828">
        <v>1</v>
      </c>
      <c r="J828" t="s">
        <v>235</v>
      </c>
      <c r="K828" s="1" t="s">
        <v>170</v>
      </c>
      <c r="L828" s="1" t="s">
        <v>173</v>
      </c>
      <c r="M828">
        <v>38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ユニフォーム潜尚保ICONIC</v>
      </c>
    </row>
    <row r="829" spans="1:20" x14ac:dyDescent="0.35">
      <c r="A829">
        <f>VLOOKUP(Attack[[#This Row],[No用]],SetNo[[No.用]:[vlookup 用]],2,FALSE)</f>
        <v>206</v>
      </c>
      <c r="B829" s="14">
        <f>IF(ROW()=2,1,IF(A828&lt;&gt;Attack[[#This Row],[No]],1,B828+1))</f>
        <v>4</v>
      </c>
      <c r="C829" t="s">
        <v>108</v>
      </c>
      <c r="D829" s="1" t="s">
        <v>858</v>
      </c>
      <c r="E829" s="1" t="s">
        <v>90</v>
      </c>
      <c r="F829" s="1" t="s">
        <v>78</v>
      </c>
      <c r="G829" s="1" t="s">
        <v>689</v>
      </c>
      <c r="H829" t="s">
        <v>71</v>
      </c>
      <c r="I829">
        <v>1</v>
      </c>
      <c r="J829" t="s">
        <v>403</v>
      </c>
      <c r="K829" s="1" t="s">
        <v>271</v>
      </c>
      <c r="L829" s="1" t="s">
        <v>173</v>
      </c>
      <c r="M829">
        <v>38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ユニフォーム潜尚保ICONIC</v>
      </c>
    </row>
    <row r="830" spans="1:20" x14ac:dyDescent="0.35">
      <c r="A830">
        <f>VLOOKUP(Attack[[#This Row],[No用]],SetNo[[No.用]:[vlookup 用]],2,FALSE)</f>
        <v>206</v>
      </c>
      <c r="B830" s="14">
        <f>IF(ROW()=2,1,IF(A829&lt;&gt;Attack[[#This Row],[No]],1,B829+1))</f>
        <v>5</v>
      </c>
      <c r="C830" t="s">
        <v>108</v>
      </c>
      <c r="D830" s="1" t="s">
        <v>858</v>
      </c>
      <c r="E830" s="1" t="s">
        <v>90</v>
      </c>
      <c r="F830" s="1" t="s">
        <v>78</v>
      </c>
      <c r="G830" s="1" t="s">
        <v>689</v>
      </c>
      <c r="H830" t="s">
        <v>71</v>
      </c>
      <c r="I830">
        <v>1</v>
      </c>
      <c r="J830" t="s">
        <v>235</v>
      </c>
      <c r="K830" s="1" t="s">
        <v>172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ユニフォーム潜尚保ICONIC</v>
      </c>
    </row>
    <row r="831" spans="1:20" x14ac:dyDescent="0.35">
      <c r="A831">
        <f>VLOOKUP(Attack[[#This Row],[No用]],SetNo[[No.用]:[vlookup 用]],2,FALSE)</f>
        <v>206</v>
      </c>
      <c r="B831" s="14">
        <f>IF(ROW()=2,1,IF(A830&lt;&gt;Attack[[#This Row],[No]],1,B830+1))</f>
        <v>6</v>
      </c>
      <c r="C831" t="s">
        <v>108</v>
      </c>
      <c r="D831" s="1" t="s">
        <v>858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235</v>
      </c>
      <c r="K831" s="1" t="s">
        <v>183</v>
      </c>
      <c r="L831" s="1" t="s">
        <v>225</v>
      </c>
      <c r="M831">
        <v>43</v>
      </c>
      <c r="N831">
        <v>0</v>
      </c>
      <c r="O831">
        <v>53</v>
      </c>
      <c r="P831">
        <v>0</v>
      </c>
      <c r="T831" t="str">
        <f>Attack[[#This Row],[服装]]&amp;Attack[[#This Row],[名前]]&amp;Attack[[#This Row],[レアリティ]]</f>
        <v>ユニフォーム潜尚保ICONIC</v>
      </c>
    </row>
    <row r="832" spans="1:20" x14ac:dyDescent="0.35">
      <c r="A832">
        <f>VLOOKUP(Attack[[#This Row],[No用]],SetNo[[No.用]:[vlookup 用]],2,FALSE)</f>
        <v>207</v>
      </c>
      <c r="B832" s="14">
        <f>IF(ROW()=2,1,IF(A831&lt;&gt;Attack[[#This Row],[No]],1,B831+1))</f>
        <v>1</v>
      </c>
      <c r="C832" s="1" t="s">
        <v>1165</v>
      </c>
      <c r="D832" s="1" t="s">
        <v>858</v>
      </c>
      <c r="E832" s="1" t="s">
        <v>77</v>
      </c>
      <c r="F832" s="1" t="s">
        <v>78</v>
      </c>
      <c r="G832" s="1" t="s">
        <v>689</v>
      </c>
      <c r="H832" s="1" t="s">
        <v>690</v>
      </c>
      <c r="I832">
        <v>1</v>
      </c>
      <c r="J832" t="s">
        <v>403</v>
      </c>
      <c r="K832" s="1" t="s">
        <v>168</v>
      </c>
      <c r="L832" s="1" t="s">
        <v>178</v>
      </c>
      <c r="M832">
        <v>35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バーガー潜尚保ICONIC</v>
      </c>
    </row>
    <row r="833" spans="1:20" x14ac:dyDescent="0.35">
      <c r="A833">
        <f>VLOOKUP(Attack[[#This Row],[No用]],SetNo[[No.用]:[vlookup 用]],2,FALSE)</f>
        <v>207</v>
      </c>
      <c r="B833" s="14">
        <f>IF(ROW()=2,1,IF(A832&lt;&gt;Attack[[#This Row],[No]],1,B832+1))</f>
        <v>2</v>
      </c>
      <c r="C833" s="1" t="s">
        <v>1165</v>
      </c>
      <c r="D833" s="1" t="s">
        <v>858</v>
      </c>
      <c r="E833" s="1" t="s">
        <v>77</v>
      </c>
      <c r="F833" s="1" t="s">
        <v>78</v>
      </c>
      <c r="G833" s="1" t="s">
        <v>689</v>
      </c>
      <c r="H833" s="1" t="s">
        <v>690</v>
      </c>
      <c r="I833">
        <v>1</v>
      </c>
      <c r="J833" t="s">
        <v>235</v>
      </c>
      <c r="K833" s="1" t="s">
        <v>169</v>
      </c>
      <c r="L833" s="1" t="s">
        <v>173</v>
      </c>
      <c r="M833">
        <v>36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バーガー潜尚保ICONIC</v>
      </c>
    </row>
    <row r="834" spans="1:20" x14ac:dyDescent="0.35">
      <c r="A834">
        <f>VLOOKUP(Attack[[#This Row],[No用]],SetNo[[No.用]:[vlookup 用]],2,FALSE)</f>
        <v>207</v>
      </c>
      <c r="B834" s="14">
        <f>IF(ROW()=2,1,IF(A833&lt;&gt;Attack[[#This Row],[No]],1,B833+1))</f>
        <v>3</v>
      </c>
      <c r="C834" s="1" t="s">
        <v>1165</v>
      </c>
      <c r="D834" s="1" t="s">
        <v>858</v>
      </c>
      <c r="E834" s="1" t="s">
        <v>77</v>
      </c>
      <c r="F834" s="1" t="s">
        <v>78</v>
      </c>
      <c r="G834" s="1" t="s">
        <v>689</v>
      </c>
      <c r="H834" s="1" t="s">
        <v>690</v>
      </c>
      <c r="I834">
        <v>1</v>
      </c>
      <c r="J834" t="s">
        <v>235</v>
      </c>
      <c r="K834" s="1" t="s">
        <v>170</v>
      </c>
      <c r="L834" s="1" t="s">
        <v>173</v>
      </c>
      <c r="M834">
        <v>38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バーガー潜尚保ICONIC</v>
      </c>
    </row>
    <row r="835" spans="1:20" x14ac:dyDescent="0.35">
      <c r="A835">
        <f>VLOOKUP(Attack[[#This Row],[No用]],SetNo[[No.用]:[vlookup 用]],2,FALSE)</f>
        <v>207</v>
      </c>
      <c r="B835" s="14">
        <f>IF(ROW()=2,1,IF(A834&lt;&gt;Attack[[#This Row],[No]],1,B834+1))</f>
        <v>4</v>
      </c>
      <c r="C835" s="1" t="s">
        <v>1165</v>
      </c>
      <c r="D835" s="1" t="s">
        <v>858</v>
      </c>
      <c r="E835" s="1" t="s">
        <v>77</v>
      </c>
      <c r="F835" s="1" t="s">
        <v>78</v>
      </c>
      <c r="G835" s="1" t="s">
        <v>689</v>
      </c>
      <c r="H835" s="1" t="s">
        <v>690</v>
      </c>
      <c r="I835">
        <v>1</v>
      </c>
      <c r="J835" t="s">
        <v>403</v>
      </c>
      <c r="K835" s="1" t="s">
        <v>271</v>
      </c>
      <c r="L835" s="1" t="s">
        <v>173</v>
      </c>
      <c r="M835">
        <v>38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バーガー潜尚保ICONIC</v>
      </c>
    </row>
    <row r="836" spans="1:20" x14ac:dyDescent="0.35">
      <c r="A836">
        <f>VLOOKUP(Attack[[#This Row],[No用]],SetNo[[No.用]:[vlookup 用]],2,FALSE)</f>
        <v>207</v>
      </c>
      <c r="B836" s="14">
        <f>IF(ROW()=2,1,IF(A835&lt;&gt;Attack[[#This Row],[No]],1,B835+1))</f>
        <v>5</v>
      </c>
      <c r="C836" s="1" t="s">
        <v>1165</v>
      </c>
      <c r="D836" s="1" t="s">
        <v>858</v>
      </c>
      <c r="E836" s="1" t="s">
        <v>77</v>
      </c>
      <c r="F836" s="1" t="s">
        <v>78</v>
      </c>
      <c r="G836" s="1" t="s">
        <v>689</v>
      </c>
      <c r="H836" s="1" t="s">
        <v>690</v>
      </c>
      <c r="I836">
        <v>1</v>
      </c>
      <c r="J836" t="s">
        <v>235</v>
      </c>
      <c r="K836" s="1" t="s">
        <v>172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バーガー潜尚保ICONIC</v>
      </c>
    </row>
    <row r="837" spans="1:20" x14ac:dyDescent="0.35">
      <c r="A837">
        <f>VLOOKUP(Attack[[#This Row],[No用]],SetNo[[No.用]:[vlookup 用]],2,FALSE)</f>
        <v>207</v>
      </c>
      <c r="B837" s="14">
        <f>IF(ROW()=2,1,IF(A836&lt;&gt;Attack[[#This Row],[No]],1,B836+1))</f>
        <v>6</v>
      </c>
      <c r="C837" s="1" t="s">
        <v>1165</v>
      </c>
      <c r="D837" s="1" t="s">
        <v>858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235</v>
      </c>
      <c r="K837" s="1" t="s">
        <v>271</v>
      </c>
      <c r="L837" s="1" t="s">
        <v>225</v>
      </c>
      <c r="M837">
        <v>43</v>
      </c>
      <c r="N837">
        <v>0</v>
      </c>
      <c r="O837">
        <v>53</v>
      </c>
      <c r="P837">
        <v>0</v>
      </c>
      <c r="T837" t="str">
        <f>Attack[[#This Row],[服装]]&amp;Attack[[#This Row],[名前]]&amp;Attack[[#This Row],[レアリティ]]</f>
        <v>バーガー潜尚保ICONIC</v>
      </c>
    </row>
    <row r="838" spans="1:20" x14ac:dyDescent="0.35">
      <c r="A838">
        <f>VLOOKUP(Attack[[#This Row],[No用]],SetNo[[No.用]:[vlookup 用]],2,FALSE)</f>
        <v>208</v>
      </c>
      <c r="B838" s="14">
        <f>IF(ROW()=2,1,IF(A837&lt;&gt;Attack[[#This Row],[No]],1,B837+1))</f>
        <v>1</v>
      </c>
      <c r="C838" t="s">
        <v>108</v>
      </c>
      <c r="D838" s="1" t="s">
        <v>860</v>
      </c>
      <c r="E838" s="1" t="s">
        <v>90</v>
      </c>
      <c r="F838" s="1" t="s">
        <v>78</v>
      </c>
      <c r="G838" s="1" t="s">
        <v>689</v>
      </c>
      <c r="H838" t="s">
        <v>71</v>
      </c>
      <c r="I838">
        <v>1</v>
      </c>
      <c r="J838" t="s">
        <v>403</v>
      </c>
      <c r="K838" s="1" t="s">
        <v>168</v>
      </c>
      <c r="L838" s="1" t="s">
        <v>162</v>
      </c>
      <c r="M838">
        <v>34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ユニフォーム高千穂恵也ICONIC</v>
      </c>
    </row>
    <row r="839" spans="1:20" x14ac:dyDescent="0.35">
      <c r="A839">
        <f>VLOOKUP(Attack[[#This Row],[No用]],SetNo[[No.用]:[vlookup 用]],2,FALSE)</f>
        <v>208</v>
      </c>
      <c r="B839" s="14">
        <f>IF(ROW()=2,1,IF(A838&lt;&gt;Attack[[#This Row],[No]],1,B838+1))</f>
        <v>2</v>
      </c>
      <c r="C839" t="s">
        <v>108</v>
      </c>
      <c r="D839" s="1" t="s">
        <v>860</v>
      </c>
      <c r="E839" s="1" t="s">
        <v>90</v>
      </c>
      <c r="F839" s="1" t="s">
        <v>78</v>
      </c>
      <c r="G839" s="1" t="s">
        <v>689</v>
      </c>
      <c r="H839" t="s">
        <v>71</v>
      </c>
      <c r="I839">
        <v>1</v>
      </c>
      <c r="J839" t="s">
        <v>235</v>
      </c>
      <c r="K839" s="1" t="s">
        <v>169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ユニフォーム高千穂恵也ICONIC</v>
      </c>
    </row>
    <row r="840" spans="1:20" x14ac:dyDescent="0.35">
      <c r="A840">
        <f>VLOOKUP(Attack[[#This Row],[No用]],SetNo[[No.用]:[vlookup 用]],2,FALSE)</f>
        <v>208</v>
      </c>
      <c r="B840" s="14">
        <f>IF(ROW()=2,1,IF(A839&lt;&gt;Attack[[#This Row],[No]],1,B839+1))</f>
        <v>3</v>
      </c>
      <c r="C840" t="s">
        <v>108</v>
      </c>
      <c r="D840" s="1" t="s">
        <v>860</v>
      </c>
      <c r="E840" s="1" t="s">
        <v>90</v>
      </c>
      <c r="F840" s="1" t="s">
        <v>78</v>
      </c>
      <c r="G840" s="1" t="s">
        <v>689</v>
      </c>
      <c r="H840" t="s">
        <v>71</v>
      </c>
      <c r="I840">
        <v>1</v>
      </c>
      <c r="J840" t="s">
        <v>235</v>
      </c>
      <c r="K840" s="1" t="s">
        <v>271</v>
      </c>
      <c r="L840" s="1" t="s">
        <v>162</v>
      </c>
      <c r="M840">
        <v>36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ユニフォーム高千穂恵也ICONIC</v>
      </c>
    </row>
    <row r="841" spans="1:20" x14ac:dyDescent="0.35">
      <c r="A841">
        <f>VLOOKUP(Attack[[#This Row],[No用]],SetNo[[No.用]:[vlookup 用]],2,FALSE)</f>
        <v>209</v>
      </c>
      <c r="B841" s="14">
        <f>IF(ROW()=2,1,IF(A840&lt;&gt;Attack[[#This Row],[No]],1,B840+1))</f>
        <v>1</v>
      </c>
      <c r="C841" t="s">
        <v>108</v>
      </c>
      <c r="D841" s="1" t="s">
        <v>862</v>
      </c>
      <c r="E841" s="1" t="s">
        <v>90</v>
      </c>
      <c r="F841" s="1" t="s">
        <v>82</v>
      </c>
      <c r="G841" s="1" t="s">
        <v>689</v>
      </c>
      <c r="H841" t="s">
        <v>71</v>
      </c>
      <c r="I841">
        <v>1</v>
      </c>
      <c r="J841" t="s">
        <v>235</v>
      </c>
      <c r="K841" s="1" t="s">
        <v>168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ユニフォーム広尾倖児ICONIC</v>
      </c>
    </row>
    <row r="842" spans="1:20" x14ac:dyDescent="0.35">
      <c r="A842">
        <f>VLOOKUP(Attack[[#This Row],[No用]],SetNo[[No.用]:[vlookup 用]],2,FALSE)</f>
        <v>209</v>
      </c>
      <c r="B842" s="14">
        <f>IF(ROW()=2,1,IF(A841&lt;&gt;Attack[[#This Row],[No]],1,B841+1))</f>
        <v>2</v>
      </c>
      <c r="C842" t="s">
        <v>108</v>
      </c>
      <c r="D842" s="1" t="s">
        <v>862</v>
      </c>
      <c r="E842" s="1" t="s">
        <v>90</v>
      </c>
      <c r="F842" s="1" t="s">
        <v>82</v>
      </c>
      <c r="G842" s="1" t="s">
        <v>689</v>
      </c>
      <c r="H842" t="s">
        <v>71</v>
      </c>
      <c r="I842">
        <v>1</v>
      </c>
      <c r="J842" t="s">
        <v>403</v>
      </c>
      <c r="K842" s="1" t="s">
        <v>169</v>
      </c>
      <c r="L842" s="1" t="s">
        <v>162</v>
      </c>
      <c r="M842">
        <v>24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ユニフォーム広尾倖児ICONIC</v>
      </c>
    </row>
    <row r="843" spans="1:20" x14ac:dyDescent="0.35">
      <c r="A843">
        <f>VLOOKUP(Attack[[#This Row],[No用]],SetNo[[No.用]:[vlookup 用]],2,FALSE)</f>
        <v>209</v>
      </c>
      <c r="B843" s="14">
        <f>IF(ROW()=2,1,IF(A842&lt;&gt;Attack[[#This Row],[No]],1,B842+1))</f>
        <v>3</v>
      </c>
      <c r="C843" t="s">
        <v>108</v>
      </c>
      <c r="D843" s="1" t="s">
        <v>862</v>
      </c>
      <c r="E843" s="1" t="s">
        <v>90</v>
      </c>
      <c r="F843" s="1" t="s">
        <v>82</v>
      </c>
      <c r="G843" s="1" t="s">
        <v>689</v>
      </c>
      <c r="H843" t="s">
        <v>71</v>
      </c>
      <c r="I843">
        <v>1</v>
      </c>
      <c r="J843" t="s">
        <v>235</v>
      </c>
      <c r="K843" s="1" t="s">
        <v>172</v>
      </c>
      <c r="L843" s="1" t="s">
        <v>162</v>
      </c>
      <c r="M843">
        <v>24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ユニフォーム広尾倖児ICONIC</v>
      </c>
    </row>
    <row r="844" spans="1:20" x14ac:dyDescent="0.35">
      <c r="A844">
        <f>VLOOKUP(Attack[[#This Row],[No用]],SetNo[[No.用]:[vlookup 用]],2,FALSE)</f>
        <v>210</v>
      </c>
      <c r="B844" s="14">
        <f>IF(ROW()=2,1,IF(A843&lt;&gt;Attack[[#This Row],[No]],1,B843+1))</f>
        <v>1</v>
      </c>
      <c r="C844" t="s">
        <v>108</v>
      </c>
      <c r="D844" s="1" t="s">
        <v>864</v>
      </c>
      <c r="E844" s="1" t="s">
        <v>90</v>
      </c>
      <c r="F844" s="1" t="s">
        <v>74</v>
      </c>
      <c r="G844" s="1" t="s">
        <v>689</v>
      </c>
      <c r="H844" t="s">
        <v>71</v>
      </c>
      <c r="I844">
        <v>1</v>
      </c>
      <c r="J844" t="s">
        <v>235</v>
      </c>
      <c r="K844" s="1" t="s">
        <v>168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ユニフォーム先島伊澄ICONIC</v>
      </c>
    </row>
    <row r="845" spans="1:20" x14ac:dyDescent="0.35">
      <c r="A845">
        <f>VLOOKUP(Attack[[#This Row],[No用]],SetNo[[No.用]:[vlookup 用]],2,FALSE)</f>
        <v>210</v>
      </c>
      <c r="B845" s="14">
        <f>IF(ROW()=2,1,IF(A844&lt;&gt;Attack[[#This Row],[No]],1,B844+1))</f>
        <v>2</v>
      </c>
      <c r="C845" t="s">
        <v>108</v>
      </c>
      <c r="D845" s="1" t="s">
        <v>864</v>
      </c>
      <c r="E845" s="1" t="s">
        <v>90</v>
      </c>
      <c r="F845" s="1" t="s">
        <v>74</v>
      </c>
      <c r="G845" s="1" t="s">
        <v>689</v>
      </c>
      <c r="H845" t="s">
        <v>71</v>
      </c>
      <c r="I845">
        <v>1</v>
      </c>
      <c r="J845" t="s">
        <v>235</v>
      </c>
      <c r="K845" s="1" t="s">
        <v>169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ユニフォーム先島伊澄ICONIC</v>
      </c>
    </row>
    <row r="846" spans="1:20" x14ac:dyDescent="0.35">
      <c r="A846">
        <f>VLOOKUP(Attack[[#This Row],[No用]],SetNo[[No.用]:[vlookup 用]],2,FALSE)</f>
        <v>210</v>
      </c>
      <c r="B846" s="14">
        <f>IF(ROW()=2,1,IF(A845&lt;&gt;Attack[[#This Row],[No]],1,B845+1))</f>
        <v>3</v>
      </c>
      <c r="C846" t="s">
        <v>108</v>
      </c>
      <c r="D846" s="1" t="s">
        <v>864</v>
      </c>
      <c r="E846" s="1" t="s">
        <v>90</v>
      </c>
      <c r="F846" s="1" t="s">
        <v>74</v>
      </c>
      <c r="G846" s="1" t="s">
        <v>689</v>
      </c>
      <c r="H846" t="s">
        <v>71</v>
      </c>
      <c r="I846">
        <v>1</v>
      </c>
      <c r="J846" t="s">
        <v>235</v>
      </c>
      <c r="K846" s="1" t="s">
        <v>171</v>
      </c>
      <c r="L846" s="1" t="s">
        <v>173</v>
      </c>
      <c r="M846">
        <v>30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ユニフォーム先島伊澄ICONIC</v>
      </c>
    </row>
    <row r="847" spans="1:20" x14ac:dyDescent="0.35">
      <c r="A847">
        <f>VLOOKUP(Attack[[#This Row],[No用]],SetNo[[No.用]:[vlookup 用]],2,FALSE)</f>
        <v>211</v>
      </c>
      <c r="B847" s="14">
        <f>IF(ROW()=2,1,IF(A846&lt;&gt;Attack[[#This Row],[No]],1,B846+1))</f>
        <v>1</v>
      </c>
      <c r="C847" t="s">
        <v>108</v>
      </c>
      <c r="D847" s="1" t="s">
        <v>866</v>
      </c>
      <c r="E847" s="1" t="s">
        <v>90</v>
      </c>
      <c r="F847" s="1" t="s">
        <v>82</v>
      </c>
      <c r="G847" s="1" t="s">
        <v>689</v>
      </c>
      <c r="H847" t="s">
        <v>71</v>
      </c>
      <c r="I847">
        <v>1</v>
      </c>
      <c r="J847" t="s">
        <v>403</v>
      </c>
      <c r="K847" s="1" t="s">
        <v>168</v>
      </c>
      <c r="L847" s="1" t="s">
        <v>162</v>
      </c>
      <c r="M847">
        <v>31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ユニフォーム背黒晃彦ICONIC</v>
      </c>
    </row>
    <row r="848" spans="1:20" x14ac:dyDescent="0.35">
      <c r="A848">
        <f>VLOOKUP(Attack[[#This Row],[No用]],SetNo[[No.用]:[vlookup 用]],2,FALSE)</f>
        <v>211</v>
      </c>
      <c r="B848" s="14">
        <f>IF(ROW()=2,1,IF(A847&lt;&gt;Attack[[#This Row],[No]],1,B847+1))</f>
        <v>2</v>
      </c>
      <c r="C848" t="s">
        <v>108</v>
      </c>
      <c r="D848" s="1" t="s">
        <v>866</v>
      </c>
      <c r="E848" s="1" t="s">
        <v>90</v>
      </c>
      <c r="F848" s="1" t="s">
        <v>82</v>
      </c>
      <c r="G848" s="1" t="s">
        <v>689</v>
      </c>
      <c r="H848" t="s">
        <v>71</v>
      </c>
      <c r="I848">
        <v>1</v>
      </c>
      <c r="J848" t="s">
        <v>235</v>
      </c>
      <c r="K848" s="1" t="s">
        <v>169</v>
      </c>
      <c r="L848" s="1" t="s">
        <v>162</v>
      </c>
      <c r="M848">
        <v>31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ユニフォーム背黒晃彦ICONIC</v>
      </c>
    </row>
    <row r="849" spans="1:20" x14ac:dyDescent="0.35">
      <c r="A849">
        <f>VLOOKUP(Attack[[#This Row],[No用]],SetNo[[No.用]:[vlookup 用]],2,FALSE)</f>
        <v>212</v>
      </c>
      <c r="B849" s="14">
        <f>IF(ROW()=2,1,IF(A848&lt;&gt;Attack[[#This Row],[No]],1,B848+1))</f>
        <v>1</v>
      </c>
      <c r="C849" t="s">
        <v>108</v>
      </c>
      <c r="D849" s="1" t="s">
        <v>868</v>
      </c>
      <c r="E849" s="1" t="s">
        <v>90</v>
      </c>
      <c r="F849" s="1" t="s">
        <v>80</v>
      </c>
      <c r="G849" s="1" t="s">
        <v>689</v>
      </c>
      <c r="H849" t="s">
        <v>71</v>
      </c>
      <c r="I849">
        <v>1</v>
      </c>
      <c r="J849" t="s">
        <v>235</v>
      </c>
      <c r="M849">
        <v>0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96"/>
  <sheetViews>
    <sheetView topLeftCell="A621" workbookViewId="0">
      <selection activeCell="A658" sqref="A656:XFD658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ユニフォーム東峰旭ICONIC</v>
      </c>
    </row>
    <row r="108" spans="1:20" x14ac:dyDescent="0.35">
      <c r="A108">
        <f>VLOOKUP(Block[[#This Row],[No用]],SetNo[[No.用]:[vlookup 用]],2,FALSE)</f>
        <v>33</v>
      </c>
      <c r="B108">
        <f>IF(ROW()=2,1,IF(A107&lt;&gt;Block[[#This Row],[No]],1,B107+1))</f>
        <v>1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2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3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20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プール掃除東峰旭ICONIC</v>
      </c>
    </row>
    <row r="111" spans="1:20" x14ac:dyDescent="0.35">
      <c r="A111">
        <f>VLOOKUP(Block[[#This Row],[No用]],SetNo[[No.用]:[vlookup 用]],2,FALSE)</f>
        <v>34</v>
      </c>
      <c r="B111">
        <f>IF(ROW()=2,1,IF(A110&lt;&gt;Block[[#This Row],[No]],1,B110+1))</f>
        <v>1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2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3</v>
      </c>
      <c r="C113" s="1" t="s">
        <v>1049</v>
      </c>
      <c r="D113" s="1" t="s">
        <v>145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サバゲ東峰旭ICONIC</v>
      </c>
    </row>
    <row r="114" spans="1:20" x14ac:dyDescent="0.35">
      <c r="A114">
        <f>VLOOKUP(Block[[#This Row],[No用]],SetNo[[No.用]:[vlookup 用]],2,FALSE)</f>
        <v>35</v>
      </c>
      <c r="B114">
        <f>IF(ROW()=2,1,IF(A113&lt;&gt;Block[[#This Row],[No]],1,B113+1))</f>
        <v>1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174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2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t="s">
        <v>175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3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248</v>
      </c>
      <c r="K116" s="1" t="s">
        <v>249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ユニフォーム東峰旭YELL</v>
      </c>
    </row>
    <row r="117" spans="1:20" x14ac:dyDescent="0.35">
      <c r="A117">
        <f>VLOOKUP(Block[[#This Row],[No用]],SetNo[[No.用]:[vlookup 用]],2,FALSE)</f>
        <v>36</v>
      </c>
      <c r="B117">
        <f>IF(ROW()=2,1,IF(A116&lt;&gt;Block[[#This Row],[No]],1,B116+1))</f>
        <v>1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2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3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4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ユニフォーム縁下力ICONIC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386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探偵縁下力ICONIC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s="1" t="s">
        <v>1071</v>
      </c>
      <c r="D128" s="1" t="s">
        <v>146</v>
      </c>
      <c r="E128" s="1" t="s">
        <v>73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RPG縁下力ICONIC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174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175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t="s">
        <v>206</v>
      </c>
      <c r="D131" t="s">
        <v>147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ユニフォーム木下久志ICONIC</v>
      </c>
    </row>
    <row r="132" spans="1:20" x14ac:dyDescent="0.35">
      <c r="A132">
        <f>VLOOKUP(Block[[#This Row],[No用]],SetNo[[No.用]:[vlookup 用]],2,FALSE)</f>
        <v>40</v>
      </c>
      <c r="B132">
        <f>IF(ROW()=2,1,IF(A131&lt;&gt;Block[[#This Row],[No]],1,B131+1))</f>
        <v>1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174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2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175</v>
      </c>
      <c r="L133" t="s">
        <v>173</v>
      </c>
      <c r="M133">
        <v>27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3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234</v>
      </c>
      <c r="L134" t="s">
        <v>173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4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t="s">
        <v>177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5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ユニフォーム孤爪研磨ICONIC</v>
      </c>
    </row>
    <row r="140" spans="1:20" x14ac:dyDescent="0.35">
      <c r="A140">
        <f>VLOOKUP(Block[[#This Row],[No用]],SetNo[[No.用]:[vlookup 用]],2,FALSE)</f>
        <v>42</v>
      </c>
      <c r="B140">
        <f>IF(ROW()=2,1,IF(A139&lt;&gt;Block[[#This Row],[No]],1,B139+1))</f>
        <v>1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2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3</v>
      </c>
      <c r="C142" t="s">
        <v>149</v>
      </c>
      <c r="D142" t="s">
        <v>39</v>
      </c>
      <c r="E142" t="s">
        <v>90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s="1" t="s">
        <v>249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制服孤爪研磨ICONIC</v>
      </c>
    </row>
    <row r="143" spans="1:20" x14ac:dyDescent="0.35">
      <c r="A143">
        <f>VLOOKUP(Block[[#This Row],[No用]],SetNo[[No.用]:[vlookup 用]],2,FALSE)</f>
        <v>43</v>
      </c>
      <c r="B143">
        <f>IF(ROW()=2,1,IF(A142&lt;&gt;Block[[#This Row],[No]],1,B142+1))</f>
        <v>1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2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3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夏祭り孤爪研磨ICONIC</v>
      </c>
    </row>
    <row r="146" spans="1:20" x14ac:dyDescent="0.35">
      <c r="A146">
        <f>VLOOKUP(Block[[#This Row],[No用]],SetNo[[No.用]:[vlookup 用]],2,FALSE)</f>
        <v>44</v>
      </c>
      <c r="B146">
        <f>IF(ROW()=2,1,IF(A145&lt;&gt;Block[[#This Row],[No]],1,B145+1))</f>
        <v>1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2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3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1周年孤爪研磨ICONIC</v>
      </c>
    </row>
    <row r="149" spans="1:20" x14ac:dyDescent="0.35">
      <c r="A149">
        <f>VLOOKUP(Block[[#This Row],[No用]],SetNo[[No.用]:[vlookup 用]],2,FALSE)</f>
        <v>45</v>
      </c>
      <c r="B149">
        <f>IF(ROW()=2,1,IF(A148&lt;&gt;Block[[#This Row],[No]],1,B148+1))</f>
        <v>1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2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3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176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4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5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6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7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225</v>
      </c>
      <c r="M155">
        <v>44</v>
      </c>
      <c r="N155">
        <v>0</v>
      </c>
      <c r="O155">
        <v>54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178</v>
      </c>
      <c r="M157">
        <v>32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3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4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5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6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7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225</v>
      </c>
      <c r="M162">
        <v>44</v>
      </c>
      <c r="N162">
        <v>0</v>
      </c>
      <c r="O162">
        <v>54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1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2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175</v>
      </c>
      <c r="L164" t="s">
        <v>178</v>
      </c>
      <c r="M164">
        <v>32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3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176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4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192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5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6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1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174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2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175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3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176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4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192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48</v>
      </c>
      <c r="B173">
        <f>IF(ROW()=2,1,IF(A172&lt;&gt;Block[[#This Row],[No]],1,B172+1))</f>
        <v>5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177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6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1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2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3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234</v>
      </c>
      <c r="L177" t="s">
        <v>173</v>
      </c>
      <c r="M177">
        <v>35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4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49</v>
      </c>
      <c r="B179">
        <f>IF(ROW()=2,1,IF(A178&lt;&gt;Block[[#This Row],[No]],1,B178+1))</f>
        <v>5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s="1" t="s">
        <v>249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6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183</v>
      </c>
      <c r="L180" t="s">
        <v>225</v>
      </c>
      <c r="M180">
        <v>46</v>
      </c>
      <c r="N180">
        <v>0</v>
      </c>
      <c r="O180">
        <v>56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1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2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3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234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4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50</v>
      </c>
      <c r="B185">
        <f>IF(ROW()=2,1,IF(A184&lt;&gt;Block[[#This Row],[No]],1,B184+1))</f>
        <v>5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6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183</v>
      </c>
      <c r="L186" t="s">
        <v>225</v>
      </c>
      <c r="M186">
        <v>46</v>
      </c>
      <c r="N186">
        <v>0</v>
      </c>
      <c r="O186">
        <v>56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174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2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175</v>
      </c>
      <c r="L188" s="1" t="s">
        <v>173</v>
      </c>
      <c r="M188">
        <v>33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3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234</v>
      </c>
      <c r="L189" s="1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4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5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1001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248</v>
      </c>
      <c r="M193">
        <v>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1周年夜久衛輔ICONIC</v>
      </c>
    </row>
    <row r="194" spans="1:20" x14ac:dyDescent="0.35">
      <c r="A194">
        <f>VLOOKUP(Block[[#This Row],[No用]],SetNo[[No.用]:[vlookup 用]],2,FALSE)</f>
        <v>54</v>
      </c>
      <c r="B194">
        <f>IF(ROW()=2,1,IF(A193&lt;&gt;Block[[#This Row],[No]],1,B193+1))</f>
        <v>1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54</v>
      </c>
      <c r="B195">
        <f>IF(ROW()=2,1,IF(A194&lt;&gt;Block[[#This Row],[No]],1,B194+1))</f>
        <v>2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3</v>
      </c>
      <c r="C196" t="s">
        <v>108</v>
      </c>
      <c r="D196" t="s">
        <v>43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ユニフォーム福永招平ICONIC</v>
      </c>
    </row>
    <row r="197" spans="1:20" x14ac:dyDescent="0.35">
      <c r="A197">
        <f>VLOOKUP(Block[[#This Row],[No用]],SetNo[[No.用]:[vlookup 用]],2,FALSE)</f>
        <v>55</v>
      </c>
      <c r="B197">
        <f>IF(ROW()=2,1,IF(A196&lt;&gt;Block[[#This Row],[No]],1,B196+1))</f>
        <v>1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2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3</v>
      </c>
      <c r="C199" s="1" t="s">
        <v>1165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249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バーガー福永招平ICONIC</v>
      </c>
    </row>
    <row r="200" spans="1:20" x14ac:dyDescent="0.35">
      <c r="A200">
        <f>VLOOKUP(Block[[#This Row],[No用]],SetNo[[No.用]:[vlookup 用]],2,FALSE)</f>
        <v>56</v>
      </c>
      <c r="B200">
        <f>IF(ROW()=2,1,IF(A199&lt;&gt;Block[[#This Row],[No]],1,B199+1))</f>
        <v>1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2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173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3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192</v>
      </c>
      <c r="L202" t="s">
        <v>173</v>
      </c>
      <c r="M202">
        <v>37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4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177</v>
      </c>
      <c r="L203" t="s">
        <v>173</v>
      </c>
      <c r="M203">
        <v>35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56</v>
      </c>
      <c r="B204">
        <f>IF(ROW()=2,1,IF(A203&lt;&gt;Block[[#This Row],[No]],1,B203+1))</f>
        <v>5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6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183</v>
      </c>
      <c r="L205" t="s">
        <v>225</v>
      </c>
      <c r="M205">
        <v>42</v>
      </c>
      <c r="N205">
        <v>0</v>
      </c>
      <c r="O205">
        <v>52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1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174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2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175</v>
      </c>
      <c r="L207" s="1" t="s">
        <v>173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3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192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4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177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57</v>
      </c>
      <c r="B210">
        <f>IF(ROW()=2,1,IF(A209&lt;&gt;Block[[#This Row],[No]],1,B209+1))</f>
        <v>5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6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183</v>
      </c>
      <c r="L211" s="1" t="s">
        <v>225</v>
      </c>
      <c r="M211">
        <v>42</v>
      </c>
      <c r="N211">
        <v>0</v>
      </c>
      <c r="O211">
        <v>52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3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4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ユニフォーム山本猛虎ICONIC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934</v>
      </c>
      <c r="D219" t="s">
        <v>45</v>
      </c>
      <c r="E219" t="s">
        <v>28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新年山本猛虎ICONIC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46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248</v>
      </c>
      <c r="M220">
        <v>0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ユニフォーム芝山優生ICONIC</v>
      </c>
    </row>
    <row r="221" spans="1:20" x14ac:dyDescent="0.35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108</v>
      </c>
      <c r="D222" t="s">
        <v>47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ユニフォーム海信之ICONIC</v>
      </c>
    </row>
    <row r="223" spans="1:20" x14ac:dyDescent="0.35">
      <c r="A223">
        <f>VLOOKUP(Block[[#This Row],[No用]],SetNo[[No.用]:[vlookup 用]],2,FALSE)</f>
        <v>62</v>
      </c>
      <c r="B223">
        <f>IF(ROW()=2,1,IF(A222&lt;&gt;Block[[#This Row],[No]],1,B222+1))</f>
        <v>1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174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2</v>
      </c>
      <c r="C224" t="s">
        <v>108</v>
      </c>
      <c r="D224" t="s">
        <v>47</v>
      </c>
      <c r="E224" t="s">
        <v>90</v>
      </c>
      <c r="F224" t="s">
        <v>78</v>
      </c>
      <c r="G224" t="s">
        <v>27</v>
      </c>
      <c r="H224" t="s">
        <v>151</v>
      </c>
      <c r="I224">
        <v>1</v>
      </c>
      <c r="J224" t="s">
        <v>248</v>
      </c>
      <c r="K224" t="s">
        <v>175</v>
      </c>
      <c r="L224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ユニフォーム海信之YELL</v>
      </c>
    </row>
    <row r="225" spans="1:20" x14ac:dyDescent="0.35">
      <c r="A225">
        <f>VLOOKUP(Block[[#This Row],[No用]],SetNo[[No.用]:[vlookup 用]],2,FALSE)</f>
        <v>63</v>
      </c>
      <c r="B225">
        <f>IF(ROW()=2,1,IF(A224&lt;&gt;Block[[#This Row],[No]],1,B224+1))</f>
        <v>1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63</v>
      </c>
      <c r="B226">
        <f>IF(ROW()=2,1,IF(A225&lt;&gt;Block[[#This Row],[No]],1,B225+1))</f>
        <v>2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3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47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4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63</v>
      </c>
      <c r="B229">
        <f>IF(ROW()=2,1,IF(A228&lt;&gt;Block[[#This Row],[No]],1,B228+1))</f>
        <v>5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6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225</v>
      </c>
      <c r="M230">
        <v>51</v>
      </c>
      <c r="N230">
        <v>5</v>
      </c>
      <c r="O230">
        <v>61</v>
      </c>
      <c r="P230">
        <v>7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1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174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2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175</v>
      </c>
      <c r="L232" t="s">
        <v>173</v>
      </c>
      <c r="M232">
        <v>41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3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192</v>
      </c>
      <c r="L233" t="s">
        <v>173</v>
      </c>
      <c r="M233">
        <v>47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4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177</v>
      </c>
      <c r="L234" t="s">
        <v>162</v>
      </c>
      <c r="M234">
        <v>34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64</v>
      </c>
      <c r="B235">
        <f>IF(ROW()=2,1,IF(A234&lt;&gt;Block[[#This Row],[No]],1,B234+1))</f>
        <v>5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t="s">
        <v>178</v>
      </c>
      <c r="M235">
        <v>39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6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192</v>
      </c>
      <c r="L236" t="s">
        <v>225</v>
      </c>
      <c r="M236">
        <v>51</v>
      </c>
      <c r="N236">
        <v>5</v>
      </c>
      <c r="O236">
        <v>61</v>
      </c>
      <c r="P236">
        <v>7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174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175</v>
      </c>
      <c r="L238" t="s">
        <v>173</v>
      </c>
      <c r="M238">
        <v>41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192</v>
      </c>
      <c r="L239" t="s">
        <v>178</v>
      </c>
      <c r="M239">
        <v>42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4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5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s="1" t="s">
        <v>249</v>
      </c>
      <c r="L241" t="s">
        <v>162</v>
      </c>
      <c r="M241">
        <v>36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1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174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2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175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3</v>
      </c>
      <c r="C244" t="s">
        <v>206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ユニフォーム二口堅治ICONIC</v>
      </c>
    </row>
    <row r="245" spans="1:20" x14ac:dyDescent="0.35">
      <c r="A245">
        <f>VLOOKUP(Block[[#This Row],[No用]],SetNo[[No.用]:[vlookup 用]],2,FALSE)</f>
        <v>67</v>
      </c>
      <c r="B245">
        <f>IF(ROW()=2,1,IF(A244&lt;&gt;Block[[#This Row],[No]],1,B244+1))</f>
        <v>1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2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3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178</v>
      </c>
      <c r="M247">
        <v>29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4</v>
      </c>
      <c r="C248" t="s">
        <v>149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制服二口堅治ICONIC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117</v>
      </c>
      <c r="D252" t="s">
        <v>50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プール掃除二口堅治ICONIC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174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175</v>
      </c>
      <c r="L254" s="1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s="1" t="s">
        <v>1122</v>
      </c>
      <c r="D255" s="1" t="s">
        <v>50</v>
      </c>
      <c r="E255" s="1" t="s">
        <v>90</v>
      </c>
      <c r="F255" s="1" t="s">
        <v>25</v>
      </c>
      <c r="G255" s="1" t="s">
        <v>49</v>
      </c>
      <c r="H255" s="1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路地裏二口堅治ICONIC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1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2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3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4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5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183</v>
      </c>
      <c r="L260" s="1" t="s">
        <v>225</v>
      </c>
      <c r="M260">
        <v>45</v>
      </c>
      <c r="N260">
        <v>0</v>
      </c>
      <c r="O260">
        <v>55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175</v>
      </c>
      <c r="L262" s="1" t="s">
        <v>178</v>
      </c>
      <c r="M262">
        <v>30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3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4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5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s="1" t="s">
        <v>702</v>
      </c>
      <c r="D269" t="s">
        <v>384</v>
      </c>
      <c r="E269" s="1" t="s">
        <v>90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ユニフォーム小原豊ICONIC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52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43</v>
      </c>
      <c r="N276">
        <v>0</v>
      </c>
      <c r="O276">
        <v>53</v>
      </c>
      <c r="P276">
        <v>0</v>
      </c>
      <c r="T276" t="str">
        <f>Block[[#This Row],[服装]]&amp;Block[[#This Row],[名前]]&amp;Block[[#This Row],[レアリティ]]</f>
        <v>ユニフォーム女川太郎ICONIC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53</v>
      </c>
      <c r="E277" t="s">
        <v>23</v>
      </c>
      <c r="F277" t="s">
        <v>21</v>
      </c>
      <c r="G277" t="s">
        <v>49</v>
      </c>
      <c r="H277" t="s">
        <v>71</v>
      </c>
      <c r="I277">
        <v>1</v>
      </c>
      <c r="J277" t="s">
        <v>248</v>
      </c>
      <c r="M277">
        <v>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ユニフォーム作並浩輔ICONIC</v>
      </c>
    </row>
    <row r="278" spans="1:20" x14ac:dyDescent="0.35">
      <c r="A278">
        <f>VLOOKUP(Block[[#This Row],[No用]],SetNo[[No.用]:[vlookup 用]],2,FALSE)</f>
        <v>76</v>
      </c>
      <c r="B278">
        <f>IF(ROW()=2,1,IF(A277&lt;&gt;Block[[#This Row],[No]],1,B277+1))</f>
        <v>1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76</v>
      </c>
      <c r="B279">
        <f>IF(ROW()=2,1,IF(A278&lt;&gt;Block[[#This Row],[No]],1,B278+1))</f>
        <v>2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76</v>
      </c>
      <c r="B280">
        <f>IF(ROW()=2,1,IF(A279&lt;&gt;Block[[#This Row],[No]],1,B279+1))</f>
        <v>3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4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177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76</v>
      </c>
      <c r="B282">
        <f>IF(ROW()=2,1,IF(A281&lt;&gt;Block[[#This Row],[No]],1,B281+1))</f>
        <v>5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6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183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1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2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3</v>
      </c>
      <c r="C286" s="1" t="s">
        <v>108</v>
      </c>
      <c r="D286" s="1" t="s">
        <v>1022</v>
      </c>
      <c r="E286" s="1" t="s">
        <v>23</v>
      </c>
      <c r="F286" s="1" t="s">
        <v>74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ユニフォーム茂庭要ICONIC</v>
      </c>
    </row>
    <row r="287" spans="1:20" x14ac:dyDescent="0.35">
      <c r="A287">
        <f>VLOOKUP(Block[[#This Row],[No用]],SetNo[[No.用]:[vlookup 用]],2,FALSE)</f>
        <v>78</v>
      </c>
      <c r="B287">
        <f>IF(ROW()=2,1,IF(A286&lt;&gt;Block[[#This Row],[No]],1,B286+1))</f>
        <v>1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2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3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179</v>
      </c>
      <c r="L289" s="1" t="s">
        <v>173</v>
      </c>
      <c r="M289">
        <v>34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4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5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46</v>
      </c>
      <c r="N291">
        <v>0</v>
      </c>
      <c r="O291">
        <v>56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175</v>
      </c>
      <c r="L293" s="1" t="s">
        <v>178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108</v>
      </c>
      <c r="D294" s="1" t="s">
        <v>1026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ユニフォーム笹谷武仁ICONIC</v>
      </c>
    </row>
    <row r="295" spans="1:20" x14ac:dyDescent="0.35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ユニフォーム及川徹ICONIC</v>
      </c>
    </row>
    <row r="298" spans="1:20" x14ac:dyDescent="0.35">
      <c r="A298">
        <f>VLOOKUP(Block[[#This Row],[No用]],SetNo[[No.用]:[vlookup 用]],2,FALSE)</f>
        <v>81</v>
      </c>
      <c r="B298">
        <f>IF(ROW()=2,1,IF(A297&lt;&gt;Block[[#This Row],[No]],1,B297+1))</f>
        <v>1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2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3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プール掃除及川徹ICONIC</v>
      </c>
    </row>
    <row r="301" spans="1:20" x14ac:dyDescent="0.35">
      <c r="A301">
        <f>VLOOKUP(Block[[#This Row],[No用]],SetNo[[No.用]:[vlookup 用]],2,FALSE)</f>
        <v>82</v>
      </c>
      <c r="B301">
        <f>IF(ROW()=2,1,IF(A300&lt;&gt;Block[[#This Row],[No]],1,B300+1))</f>
        <v>1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2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31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3</v>
      </c>
      <c r="C303" s="1" t="s">
        <v>915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Xmas及川徹ICONIC</v>
      </c>
    </row>
    <row r="304" spans="1:20" x14ac:dyDescent="0.35">
      <c r="A304">
        <f>VLOOKUP(Block[[#This Row],[No用]],SetNo[[No.用]:[vlookup 用]],2,FALSE)</f>
        <v>83</v>
      </c>
      <c r="B304">
        <f>IF(ROW()=2,1,IF(A303&lt;&gt;Block[[#This Row],[No]],1,B303+1))</f>
        <v>1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2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3</v>
      </c>
      <c r="C306" s="1" t="s">
        <v>149</v>
      </c>
      <c r="D306" t="s">
        <v>30</v>
      </c>
      <c r="E306" s="1" t="s">
        <v>73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制服及川徹ICONIC</v>
      </c>
    </row>
    <row r="307" spans="1:20" x14ac:dyDescent="0.35">
      <c r="A307">
        <f>VLOOKUP(Block[[#This Row],[No用]],SetNo[[No.用]:[vlookup 用]],2,FALSE)</f>
        <v>84</v>
      </c>
      <c r="B307">
        <f>IF(ROW()=2,1,IF(A306&lt;&gt;Block[[#This Row],[No]],1,B306+1))</f>
        <v>1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2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3</v>
      </c>
      <c r="C309" s="1" t="s">
        <v>1122</v>
      </c>
      <c r="D309" s="1" t="s">
        <v>30</v>
      </c>
      <c r="E309" s="1" t="s">
        <v>90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路地裏及川徹ICONIC</v>
      </c>
    </row>
    <row r="310" spans="1:20" x14ac:dyDescent="0.35">
      <c r="A310">
        <f>VLOOKUP(Block[[#This Row],[No用]],SetNo[[No.用]:[vlookup 用]],2,FALSE)</f>
        <v>85</v>
      </c>
      <c r="B310">
        <f>IF(ROW()=2,1,IF(A309&lt;&gt;Block[[#This Row],[No]],1,B309+1))</f>
        <v>1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2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3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4</v>
      </c>
      <c r="C313" t="s">
        <v>206</v>
      </c>
      <c r="D313" t="s">
        <v>32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ユニフォーム岩泉一ICONIC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117</v>
      </c>
      <c r="D317" t="s">
        <v>32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178</v>
      </c>
      <c r="M317">
        <v>29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プール掃除岩泉一ICONIC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s="1" t="s">
        <v>149</v>
      </c>
      <c r="D321" t="s">
        <v>32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制服岩泉一ICONIC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32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5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1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2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3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179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4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5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1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2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30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3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4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5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6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43</v>
      </c>
      <c r="N337">
        <v>0</v>
      </c>
      <c r="O337">
        <v>53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3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ユニフォーム京谷賢太郎ICONIC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ユニフォーム国見英ICONIC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1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2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3</v>
      </c>
      <c r="C346" s="1" t="s">
        <v>702</v>
      </c>
      <c r="D346" t="s">
        <v>35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職業体験国見英ICONIC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1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174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2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175</v>
      </c>
      <c r="L348" s="1" t="s">
        <v>178</v>
      </c>
      <c r="M348">
        <v>29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3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179</v>
      </c>
      <c r="L349" s="1" t="s">
        <v>178</v>
      </c>
      <c r="M349">
        <v>31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4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5</v>
      </c>
      <c r="C351" s="1" t="s">
        <v>1122</v>
      </c>
      <c r="D351" s="1" t="s">
        <v>35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44</v>
      </c>
      <c r="N351">
        <v>0</v>
      </c>
      <c r="O351">
        <v>54</v>
      </c>
      <c r="P351">
        <v>0</v>
      </c>
      <c r="T351" t="str">
        <f>Block[[#This Row],[服装]]&amp;Block[[#This Row],[名前]]&amp;Block[[#This Row],[レアリティ]]</f>
        <v>路地裏国見英ICONIC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36</v>
      </c>
      <c r="E352" t="s">
        <v>23</v>
      </c>
      <c r="F352" t="s">
        <v>21</v>
      </c>
      <c r="G352" t="s">
        <v>20</v>
      </c>
      <c r="H352" t="s">
        <v>71</v>
      </c>
      <c r="I352">
        <v>1</v>
      </c>
      <c r="J352" t="s">
        <v>248</v>
      </c>
      <c r="M352">
        <v>0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ユニフォーム渡親治ICONIC</v>
      </c>
    </row>
    <row r="353" spans="1:20" x14ac:dyDescent="0.35">
      <c r="A353">
        <f>VLOOKUP(Block[[#This Row],[No用]],SetNo[[No.用]:[vlookup 用]],2,FALSE)</f>
        <v>96</v>
      </c>
      <c r="B353">
        <f>IF(ROW()=2,1,IF(A352&lt;&gt;Block[[#This Row],[No]],1,B352+1))</f>
        <v>1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2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3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176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4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192</v>
      </c>
      <c r="L356" s="1" t="s">
        <v>162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5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6</v>
      </c>
      <c r="C358" t="s">
        <v>206</v>
      </c>
      <c r="D358" t="s">
        <v>37</v>
      </c>
      <c r="E358" t="s">
        <v>23</v>
      </c>
      <c r="F358" t="s">
        <v>26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ユニフォーム松川一静ICONIC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2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3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176</v>
      </c>
      <c r="L361" s="1" t="s">
        <v>173</v>
      </c>
      <c r="M361">
        <v>43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4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192</v>
      </c>
      <c r="L362" s="1" t="s">
        <v>178</v>
      </c>
      <c r="M362">
        <v>41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5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6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249</v>
      </c>
      <c r="L364" s="1" t="s">
        <v>178</v>
      </c>
      <c r="M364">
        <v>36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7</v>
      </c>
      <c r="C365" s="1" t="s">
        <v>908</v>
      </c>
      <c r="D365" t="s">
        <v>37</v>
      </c>
      <c r="E365" s="1" t="s">
        <v>90</v>
      </c>
      <c r="F365" t="s">
        <v>82</v>
      </c>
      <c r="G365" t="s">
        <v>20</v>
      </c>
      <c r="H365" t="s">
        <v>71</v>
      </c>
      <c r="I365">
        <v>1</v>
      </c>
      <c r="J365" t="s">
        <v>248</v>
      </c>
      <c r="K365" s="1" t="s">
        <v>909</v>
      </c>
      <c r="L365" s="1" t="s">
        <v>225</v>
      </c>
      <c r="M365">
        <v>49</v>
      </c>
      <c r="N365">
        <v>0</v>
      </c>
      <c r="O365">
        <v>59</v>
      </c>
      <c r="P365">
        <v>0</v>
      </c>
      <c r="T365" t="str">
        <f>Block[[#This Row],[服装]]&amp;Block[[#This Row],[名前]]&amp;Block[[#This Row],[レアリティ]]</f>
        <v>アート松川一静ICONIC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ユニフォーム花巻貴大ICONIC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アート花巻貴大ICONIC</v>
      </c>
    </row>
    <row r="372" spans="1:20" x14ac:dyDescent="0.35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s="1" t="s">
        <v>1165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バーガー花巻貴大ICONIC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s="1" t="s">
        <v>1165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バーガー花巻貴大ICONIC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s="1" t="s">
        <v>1165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バーガー花巻貴大ICONIC</v>
      </c>
    </row>
    <row r="375" spans="1:20" x14ac:dyDescent="0.35">
      <c r="A375">
        <f>VLOOKUP(Block[[#This Row],[No用]],SetNo[[No.用]:[vlookup 用]],2,FALSE)</f>
        <v>101</v>
      </c>
      <c r="B375">
        <f>IF(ROW()=2,1,IF(A374&lt;&gt;Block[[#This Row],[No]],1,B374+1))</f>
        <v>1</v>
      </c>
      <c r="C375" s="1" t="s">
        <v>108</v>
      </c>
      <c r="D375" s="1" t="s">
        <v>1042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ユニフォーム矢巾秀ICONIC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2</v>
      </c>
      <c r="C376" s="1" t="s">
        <v>108</v>
      </c>
      <c r="D376" s="1" t="s">
        <v>1042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ユニフォーム矢巾秀ICONIC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3</v>
      </c>
      <c r="C377" s="1" t="s">
        <v>108</v>
      </c>
      <c r="D377" s="1" t="s">
        <v>1042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ユニフォーム矢巾秀ICONIC</v>
      </c>
    </row>
    <row r="378" spans="1:20" x14ac:dyDescent="0.35">
      <c r="A378">
        <f>VLOOKUP(Block[[#This Row],[No用]],SetNo[[No.用]:[vlookup 用]],2,FALSE)</f>
        <v>102</v>
      </c>
      <c r="B378">
        <f>IF(ROW()=2,1,IF(A377&lt;&gt;Block[[#This Row],[No]],1,B377+1))</f>
        <v>1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ユニフォーム駒木輝ICONIC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2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ユニフォーム駒木輝ICONIC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3</v>
      </c>
      <c r="C380" t="s">
        <v>206</v>
      </c>
      <c r="D380" t="s">
        <v>55</v>
      </c>
      <c r="E380" t="s">
        <v>23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ユニフォーム駒木輝ICONIC</v>
      </c>
    </row>
    <row r="381" spans="1:20" x14ac:dyDescent="0.35">
      <c r="A381">
        <f>VLOOKUP(Block[[#This Row],[No用]],SetNo[[No.用]:[vlookup 用]],2,FALSE)</f>
        <v>103</v>
      </c>
      <c r="B381">
        <f>IF(ROW()=2,1,IF(A380&lt;&gt;Block[[#This Row],[No]],1,B380+1))</f>
        <v>1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174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2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175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3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248</v>
      </c>
      <c r="K383" s="1" t="s">
        <v>234</v>
      </c>
      <c r="L383" s="1" t="s">
        <v>173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ユニフォーム茶屋和馬ICONIC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4</v>
      </c>
      <c r="C384" t="s">
        <v>206</v>
      </c>
      <c r="D384" t="s">
        <v>57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ユニフォーム茶屋和馬ICONIC</v>
      </c>
    </row>
    <row r="385" spans="1:20" x14ac:dyDescent="0.35">
      <c r="A385">
        <f>VLOOKUP(Block[[#This Row],[No用]],SetNo[[No.用]:[vlookup 用]],2,FALSE)</f>
        <v>103</v>
      </c>
      <c r="B385">
        <f>IF(ROW()=2,1,IF(A384&lt;&gt;Block[[#This Row],[No]],1,B384+1))</f>
        <v>5</v>
      </c>
      <c r="C385" t="s">
        <v>206</v>
      </c>
      <c r="D385" t="s">
        <v>57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ユニフォーム茶屋和馬ICONIC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6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Block[[#This Row],[服装]]&amp;Block[[#This Row],[名前]]&amp;Block[[#This Row],[レアリティ]]</f>
        <v>ユニフォーム茶屋和馬ICONIC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1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ユニフォーム玉川弘樹ICONIC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2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ユニフォーム玉川弘樹ICONIC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3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ユニフォーム玉川弘樹ICONIC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4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ユニフォーム玉川弘樹ICONIC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59</v>
      </c>
      <c r="E391" t="s">
        <v>24</v>
      </c>
      <c r="F391" t="s">
        <v>21</v>
      </c>
      <c r="G391" t="s">
        <v>56</v>
      </c>
      <c r="H391" t="s">
        <v>71</v>
      </c>
      <c r="I391">
        <v>1</v>
      </c>
      <c r="J391" t="s">
        <v>248</v>
      </c>
      <c r="M391">
        <v>0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ユニフォーム桜井大河ICONIC</v>
      </c>
    </row>
    <row r="392" spans="1:20" x14ac:dyDescent="0.35">
      <c r="A392">
        <f>VLOOKUP(Block[[#This Row],[No用]],SetNo[[No.用]:[vlookup 用]],2,FALSE)</f>
        <v>106</v>
      </c>
      <c r="B392">
        <f>IF(ROW()=2,1,IF(A391&lt;&gt;Block[[#This Row],[No]],1,B391+1))</f>
        <v>1</v>
      </c>
      <c r="C392" t="s">
        <v>206</v>
      </c>
      <c r="D392" t="s">
        <v>60</v>
      </c>
      <c r="E392" t="s">
        <v>24</v>
      </c>
      <c r="F392" t="s">
        <v>31</v>
      </c>
      <c r="G392" t="s">
        <v>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ユニフォーム芳賀良治ICONIC</v>
      </c>
    </row>
    <row r="393" spans="1:20" x14ac:dyDescent="0.35">
      <c r="A393">
        <f>VLOOKUP(Block[[#This Row],[No用]],SetNo[[No.用]:[vlookup 用]],2,FALSE)</f>
        <v>106</v>
      </c>
      <c r="B393">
        <f>IF(ROW()=2,1,IF(A392&lt;&gt;Block[[#This Row],[No]],1,B392+1))</f>
        <v>2</v>
      </c>
      <c r="C393" t="s">
        <v>206</v>
      </c>
      <c r="D393" t="s">
        <v>60</v>
      </c>
      <c r="E393" t="s">
        <v>24</v>
      </c>
      <c r="F393" t="s">
        <v>31</v>
      </c>
      <c r="G393" t="s">
        <v>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ユニフォーム芳賀良治ICONIC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3</v>
      </c>
      <c r="C394" t="s">
        <v>206</v>
      </c>
      <c r="D394" t="s">
        <v>60</v>
      </c>
      <c r="E394" t="s">
        <v>24</v>
      </c>
      <c r="F394" t="s">
        <v>31</v>
      </c>
      <c r="G394" t="s">
        <v>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ユニフォーム芳賀良治ICONIC</v>
      </c>
    </row>
    <row r="395" spans="1:20" x14ac:dyDescent="0.35">
      <c r="A395">
        <f>VLOOKUP(Block[[#This Row],[No用]],SetNo[[No.用]:[vlookup 用]],2,FALSE)</f>
        <v>107</v>
      </c>
      <c r="B395">
        <f>IF(ROW()=2,1,IF(A394&lt;&gt;Block[[#This Row],[No]],1,B394+1))</f>
        <v>1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107</v>
      </c>
      <c r="B396">
        <f>IF(ROW()=2,1,IF(A395&lt;&gt;Block[[#This Row],[No]],1,B395+1))</f>
        <v>2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107</v>
      </c>
      <c r="B397">
        <f>IF(ROW()=2,1,IF(A396&lt;&gt;Block[[#This Row],[No]],1,B396+1))</f>
        <v>3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248</v>
      </c>
      <c r="K397" s="1" t="s">
        <v>179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ユニフォーム渋谷陸斗ICONIC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4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ユニフォーム渋谷陸斗ICONIC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5</v>
      </c>
      <c r="C399" t="s">
        <v>206</v>
      </c>
      <c r="D399" t="s">
        <v>61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ユニフォーム渋谷陸斗ICONIC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6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45</v>
      </c>
      <c r="N400">
        <v>0</v>
      </c>
      <c r="O400">
        <v>55</v>
      </c>
      <c r="P400">
        <v>0</v>
      </c>
      <c r="T400" t="str">
        <f>Block[[#This Row],[服装]]&amp;Block[[#This Row],[名前]]&amp;Block[[#This Row],[レアリティ]]</f>
        <v>ユニフォーム渋谷陸斗ICONIC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1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ユニフォーム池尻隼人ICONIC</v>
      </c>
    </row>
    <row r="402" spans="1:20" x14ac:dyDescent="0.35">
      <c r="A402">
        <f>VLOOKUP(Block[[#This Row],[No用]],SetNo[[No.用]:[vlookup 用]],2,FALSE)</f>
        <v>108</v>
      </c>
      <c r="B402">
        <f>IF(ROW()=2,1,IF(A401&lt;&gt;Block[[#This Row],[No]],1,B401+1))</f>
        <v>2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ユニフォーム池尻隼人ICONIC</v>
      </c>
    </row>
    <row r="403" spans="1:20" x14ac:dyDescent="0.35">
      <c r="A403">
        <f>VLOOKUP(Block[[#This Row],[No用]],SetNo[[No.用]:[vlookup 用]],2,FALSE)</f>
        <v>108</v>
      </c>
      <c r="B403">
        <f>IF(ROW()=2,1,IF(A402&lt;&gt;Block[[#This Row],[No]],1,B402+1))</f>
        <v>3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ユニフォーム池尻隼人ICONIC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4</v>
      </c>
      <c r="C404" t="s">
        <v>206</v>
      </c>
      <c r="D404" t="s">
        <v>62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ユニフォーム池尻隼人ICONIC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1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ユニフォーム十和田良樹ICONIC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2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ユニフォーム十和田良樹ICONIC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3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ユニフォーム十和田良樹ICONIC</v>
      </c>
    </row>
    <row r="408" spans="1:20" x14ac:dyDescent="0.35">
      <c r="A408">
        <f>VLOOKUP(Block[[#This Row],[No用]],SetNo[[No.用]:[vlookup 用]],2,FALSE)</f>
        <v>109</v>
      </c>
      <c r="B408">
        <f>IF(ROW()=2,1,IF(A407&lt;&gt;Block[[#This Row],[No]],1,B407+1))</f>
        <v>4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ユニフォーム十和田良樹ICONIC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1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174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2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35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3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248</v>
      </c>
      <c r="K411" s="1" t="s">
        <v>192</v>
      </c>
      <c r="L411" s="1" t="s">
        <v>173</v>
      </c>
      <c r="M411">
        <v>42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ユニフォーム森岳歩ICONIC</v>
      </c>
    </row>
    <row r="412" spans="1:20" x14ac:dyDescent="0.35">
      <c r="A412">
        <f>VLOOKUP(Block[[#This Row],[No用]],SetNo[[No.用]:[vlookup 用]],2,FALSE)</f>
        <v>110</v>
      </c>
      <c r="B412">
        <f>IF(ROW()=2,1,IF(A411&lt;&gt;Block[[#This Row],[No]],1,B411+1))</f>
        <v>4</v>
      </c>
      <c r="C412" t="s">
        <v>206</v>
      </c>
      <c r="D412" t="s">
        <v>65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32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ユニフォーム森岳歩ICONIC</v>
      </c>
    </row>
    <row r="413" spans="1:20" x14ac:dyDescent="0.35">
      <c r="A413">
        <f>VLOOKUP(Block[[#This Row],[No用]],SetNo[[No.用]:[vlookup 用]],2,FALSE)</f>
        <v>110</v>
      </c>
      <c r="B413">
        <f>IF(ROW()=2,1,IF(A412&lt;&gt;Block[[#This Row],[No]],1,B412+1))</f>
        <v>5</v>
      </c>
      <c r="C413" t="s">
        <v>206</v>
      </c>
      <c r="D413" t="s">
        <v>65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32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ユニフォーム森岳歩ICONIC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6</v>
      </c>
      <c r="C414" t="s">
        <v>206</v>
      </c>
      <c r="D414" t="s">
        <v>65</v>
      </c>
      <c r="E414" t="s">
        <v>28</v>
      </c>
      <c r="F414" t="s">
        <v>26</v>
      </c>
      <c r="G414" t="s">
        <v>64</v>
      </c>
      <c r="H414" t="s">
        <v>71</v>
      </c>
      <c r="I414">
        <v>1</v>
      </c>
      <c r="J414" t="s">
        <v>248</v>
      </c>
      <c r="K414" s="1" t="s">
        <v>183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Block[[#This Row],[服装]]&amp;Block[[#This Row],[名前]]&amp;Block[[#This Row],[レアリティ]]</f>
        <v>ユニフォーム森岳歩ICONIC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ユニフォーム唐松拓巳ICONIC</v>
      </c>
    </row>
    <row r="416" spans="1:20" x14ac:dyDescent="0.35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ユニフォーム唐松拓巳ICONIC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66</v>
      </c>
      <c r="E417" t="s">
        <v>24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ユニフォーム唐松拓巳ICONIC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4</v>
      </c>
      <c r="C418" t="s">
        <v>206</v>
      </c>
      <c r="D418" t="s">
        <v>66</v>
      </c>
      <c r="E418" t="s">
        <v>24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ユニフォーム唐松拓巳ICONIC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1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ユニフォーム田沢裕樹ICONIC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2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ユニフォーム田沢裕樹ICONIC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3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ユニフォーム田沢裕樹ICONIC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4</v>
      </c>
      <c r="C422" t="s">
        <v>206</v>
      </c>
      <c r="D422" t="s">
        <v>67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ユニフォーム田沢裕樹ICONIC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40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40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t="s">
        <v>206</v>
      </c>
      <c r="D425" t="s">
        <v>68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ユニフォーム子安颯真ICONIC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4</v>
      </c>
      <c r="C426" t="s">
        <v>206</v>
      </c>
      <c r="D426" t="s">
        <v>68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ユニフォーム子安颯真ICONIC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5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ユニフォーム子安颯真ICONIC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6</v>
      </c>
      <c r="C428" t="s">
        <v>206</v>
      </c>
      <c r="D428" t="s">
        <v>68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248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Block[[#This Row],[服装]]&amp;Block[[#This Row],[名前]]&amp;Block[[#This Row],[レアリティ]]</f>
        <v>ユニフォーム子安颯真ICONIC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t="s">
        <v>206</v>
      </c>
      <c r="D429" t="s">
        <v>69</v>
      </c>
      <c r="E429" t="s">
        <v>28</v>
      </c>
      <c r="F429" t="s">
        <v>21</v>
      </c>
      <c r="G429" t="s">
        <v>64</v>
      </c>
      <c r="H429" t="s">
        <v>71</v>
      </c>
      <c r="I429">
        <v>1</v>
      </c>
      <c r="J429" t="s">
        <v>248</v>
      </c>
      <c r="K429" s="1"/>
      <c r="L429" s="1"/>
      <c r="M429">
        <v>0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ユニフォーム横手駿ICONIC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70</v>
      </c>
      <c r="E430" t="s">
        <v>28</v>
      </c>
      <c r="F430" t="s">
        <v>31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ユニフォーム夏瀬伊吹ICONIC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70</v>
      </c>
      <c r="E431" t="s">
        <v>28</v>
      </c>
      <c r="F431" t="s">
        <v>31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ユニフォーム夏瀬伊吹ICONIC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70</v>
      </c>
      <c r="E432" t="s">
        <v>28</v>
      </c>
      <c r="F432" t="s">
        <v>31</v>
      </c>
      <c r="G432" t="s">
        <v>64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ユニフォーム夏瀬伊吹ICONIC</v>
      </c>
    </row>
    <row r="433" spans="1:20" x14ac:dyDescent="0.35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s="1" t="s">
        <v>108</v>
      </c>
      <c r="D433" s="1" t="s">
        <v>1159</v>
      </c>
      <c r="E433" s="1" t="s">
        <v>28</v>
      </c>
      <c r="F433" s="1" t="s">
        <v>31</v>
      </c>
      <c r="G433" s="1" t="s">
        <v>64</v>
      </c>
      <c r="H433" s="1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ユニフォーム秋宮昇ICONIC</v>
      </c>
    </row>
    <row r="434" spans="1:20" x14ac:dyDescent="0.35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s="1" t="s">
        <v>108</v>
      </c>
      <c r="D434" s="1" t="s">
        <v>1159</v>
      </c>
      <c r="E434" s="1" t="s">
        <v>28</v>
      </c>
      <c r="F434" s="1" t="s">
        <v>31</v>
      </c>
      <c r="G434" s="1" t="s">
        <v>64</v>
      </c>
      <c r="H434" s="1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ユニフォーム秋宮昇ICONIC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s="1" t="s">
        <v>108</v>
      </c>
      <c r="D435" s="1" t="s">
        <v>1159</v>
      </c>
      <c r="E435" s="1" t="s">
        <v>28</v>
      </c>
      <c r="F435" s="1" t="s">
        <v>31</v>
      </c>
      <c r="G435" s="1" t="s">
        <v>64</v>
      </c>
      <c r="H435" s="1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ユニフォーム秋宮昇ICONIC</v>
      </c>
    </row>
    <row r="436" spans="1:20" x14ac:dyDescent="0.35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t="s">
        <v>206</v>
      </c>
      <c r="D436" t="s">
        <v>72</v>
      </c>
      <c r="E436" t="s">
        <v>23</v>
      </c>
      <c r="F436" t="s">
        <v>31</v>
      </c>
      <c r="G436" t="s">
        <v>75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ユニフォーム古牧譲ICONIC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t="s">
        <v>206</v>
      </c>
      <c r="D437" t="s">
        <v>72</v>
      </c>
      <c r="E437" t="s">
        <v>23</v>
      </c>
      <c r="F437" t="s">
        <v>31</v>
      </c>
      <c r="G437" t="s">
        <v>75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t="s">
        <v>206</v>
      </c>
      <c r="D438" t="s">
        <v>72</v>
      </c>
      <c r="E438" t="s">
        <v>23</v>
      </c>
      <c r="F438" t="s">
        <v>31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ユニフォーム古牧譲ICONIC</v>
      </c>
    </row>
    <row r="439" spans="1:20" x14ac:dyDescent="0.35">
      <c r="A439">
        <f>VLOOKUP(Block[[#This Row],[No用]],SetNo[[No.用]:[vlookup 用]],2,FALSE)</f>
        <v>118</v>
      </c>
      <c r="B439">
        <f>IF(ROW()=2,1,IF(A438&lt;&gt;Block[[#This Row],[No]],1,B438+1))</f>
        <v>1</v>
      </c>
      <c r="C439" s="1" t="s">
        <v>959</v>
      </c>
      <c r="D439" t="s">
        <v>72</v>
      </c>
      <c r="E439" s="1" t="s">
        <v>90</v>
      </c>
      <c r="F439" t="s">
        <v>74</v>
      </c>
      <c r="G439" t="s">
        <v>75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雪遊び古牧譲ICONIC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2</v>
      </c>
      <c r="C440" s="1" t="s">
        <v>959</v>
      </c>
      <c r="D440" t="s">
        <v>72</v>
      </c>
      <c r="E440" s="1" t="s">
        <v>90</v>
      </c>
      <c r="F440" t="s">
        <v>74</v>
      </c>
      <c r="G440" t="s">
        <v>75</v>
      </c>
      <c r="H440" t="s">
        <v>71</v>
      </c>
      <c r="I440">
        <v>1</v>
      </c>
      <c r="J440" t="s">
        <v>248</v>
      </c>
      <c r="K440" s="1" t="s">
        <v>175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雪遊び古牧譲ICONIC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3</v>
      </c>
      <c r="C441" s="1" t="s">
        <v>959</v>
      </c>
      <c r="D441" t="s">
        <v>72</v>
      </c>
      <c r="E441" s="1" t="s">
        <v>90</v>
      </c>
      <c r="F441" t="s">
        <v>74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雪遊び古牧譲ICONIC</v>
      </c>
    </row>
    <row r="442" spans="1:20" x14ac:dyDescent="0.35">
      <c r="A442">
        <f>VLOOKUP(Block[[#This Row],[No用]],SetNo[[No.用]:[vlookup 用]],2,FALSE)</f>
        <v>119</v>
      </c>
      <c r="B442">
        <f>IF(ROW()=2,1,IF(A441&lt;&gt;Block[[#This Row],[No]],1,B441+1))</f>
        <v>1</v>
      </c>
      <c r="C442" t="s">
        <v>206</v>
      </c>
      <c r="D442" t="s">
        <v>76</v>
      </c>
      <c r="E442" t="s">
        <v>28</v>
      </c>
      <c r="F442" t="s">
        <v>25</v>
      </c>
      <c r="G442" t="s">
        <v>75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ユニフォーム浅虫快人ICONIC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2</v>
      </c>
      <c r="C443" t="s">
        <v>206</v>
      </c>
      <c r="D443" t="s">
        <v>76</v>
      </c>
      <c r="E443" t="s">
        <v>28</v>
      </c>
      <c r="F443" t="s">
        <v>25</v>
      </c>
      <c r="G443" t="s">
        <v>75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ユニフォーム浅虫快人ICONIC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3</v>
      </c>
      <c r="C444" t="s">
        <v>206</v>
      </c>
      <c r="D444" t="s">
        <v>76</v>
      </c>
      <c r="E444" t="s">
        <v>28</v>
      </c>
      <c r="F444" t="s">
        <v>25</v>
      </c>
      <c r="G444" t="s">
        <v>75</v>
      </c>
      <c r="H444" t="s">
        <v>71</v>
      </c>
      <c r="I444">
        <v>1</v>
      </c>
      <c r="J444" t="s">
        <v>248</v>
      </c>
      <c r="K444" s="1" t="s">
        <v>177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ユニフォーム浅虫快人ICONIC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4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ユニフォーム浅虫快人ICONIC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206</v>
      </c>
      <c r="D446" t="s">
        <v>79</v>
      </c>
      <c r="E446" t="s">
        <v>23</v>
      </c>
      <c r="F446" t="s">
        <v>21</v>
      </c>
      <c r="G446" t="s">
        <v>75</v>
      </c>
      <c r="H446" t="s">
        <v>71</v>
      </c>
      <c r="I446">
        <v>1</v>
      </c>
      <c r="J446" t="s">
        <v>248</v>
      </c>
      <c r="K446" s="1"/>
      <c r="L446" s="1"/>
      <c r="M446">
        <v>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ユニフォーム南田大志ICONIC</v>
      </c>
    </row>
    <row r="447" spans="1:20" x14ac:dyDescent="0.35">
      <c r="A447">
        <f>VLOOKUP(Block[[#This Row],[No用]],SetNo[[No.用]:[vlookup 用]],2,FALSE)</f>
        <v>121</v>
      </c>
      <c r="B447">
        <f>IF(ROW()=2,1,IF(A446&lt;&gt;Block[[#This Row],[No]],1,B446+1))</f>
        <v>1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121</v>
      </c>
      <c r="B448">
        <f>IF(ROW()=2,1,IF(A447&lt;&gt;Block[[#This Row],[No]],1,B447+1))</f>
        <v>2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3</v>
      </c>
      <c r="C449" t="s">
        <v>206</v>
      </c>
      <c r="D449" t="s">
        <v>81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248</v>
      </c>
      <c r="K449" s="1" t="s">
        <v>176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ユニフォーム湯川良明ICONIC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4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ユニフォーム湯川良明ICONIC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5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ユニフォーム湯川良明ICONIC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6</v>
      </c>
      <c r="C452" t="s">
        <v>206</v>
      </c>
      <c r="D452" t="s">
        <v>81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176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Block[[#This Row],[服装]]&amp;Block[[#This Row],[名前]]&amp;Block[[#This Row],[レアリティ]]</f>
        <v>ユニフォーム湯川良明ICONIC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83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ユニフォーム稲垣功ICONIC</v>
      </c>
    </row>
    <row r="454" spans="1:20" x14ac:dyDescent="0.35">
      <c r="A454">
        <f>VLOOKUP(Block[[#This Row],[No用]],SetNo[[No.用]:[vlookup 用]],2,FALSE)</f>
        <v>122</v>
      </c>
      <c r="B454">
        <f>IF(ROW()=2,1,IF(A453&lt;&gt;Block[[#This Row],[No]],1,B453+1))</f>
        <v>2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ユニフォーム稲垣功ICONIC</v>
      </c>
    </row>
    <row r="455" spans="1:20" x14ac:dyDescent="0.35">
      <c r="A455">
        <f>VLOOKUP(Block[[#This Row],[No用]],SetNo[[No.用]:[vlookup 用]],2,FALSE)</f>
        <v>122</v>
      </c>
      <c r="B455">
        <f>IF(ROW()=2,1,IF(A454&lt;&gt;Block[[#This Row],[No]],1,B454+1))</f>
        <v>3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ユニフォーム稲垣功ICONIC</v>
      </c>
    </row>
    <row r="456" spans="1:20" x14ac:dyDescent="0.35">
      <c r="A456">
        <f>VLOOKUP(Block[[#This Row],[No用]],SetNo[[No.用]:[vlookup 用]],2,FALSE)</f>
        <v>122</v>
      </c>
      <c r="B456">
        <f>IF(ROW()=2,1,IF(A455&lt;&gt;Block[[#This Row],[No]],1,B455+1))</f>
        <v>4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ユニフォーム稲垣功ICONIC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1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2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3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192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ユニフォーム馬門英治ICONIC</v>
      </c>
    </row>
    <row r="460" spans="1:20" x14ac:dyDescent="0.35">
      <c r="A460">
        <f>VLOOKUP(Block[[#This Row],[No用]],SetNo[[No.用]:[vlookup 用]],2,FALSE)</f>
        <v>123</v>
      </c>
      <c r="B460">
        <f>IF(ROW()=2,1,IF(A459&lt;&gt;Block[[#This Row],[No]],1,B459+1))</f>
        <v>4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ユニフォーム馬門英治ICONIC</v>
      </c>
    </row>
    <row r="461" spans="1:20" x14ac:dyDescent="0.35">
      <c r="A461">
        <f>VLOOKUP(Block[[#This Row],[No用]],SetNo[[No.用]:[vlookup 用]],2,FALSE)</f>
        <v>123</v>
      </c>
      <c r="B461">
        <f>IF(ROW()=2,1,IF(A460&lt;&gt;Block[[#This Row],[No]],1,B460+1))</f>
        <v>5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ユニフォーム馬門英治ICONIC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6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248</v>
      </c>
      <c r="K462" s="1" t="s">
        <v>176</v>
      </c>
      <c r="L462" s="1" t="s">
        <v>225</v>
      </c>
      <c r="M462">
        <v>45</v>
      </c>
      <c r="N462">
        <v>0</v>
      </c>
      <c r="O462">
        <v>56</v>
      </c>
      <c r="P462">
        <v>0</v>
      </c>
      <c r="T462" t="str">
        <f>Block[[#This Row],[服装]]&amp;Block[[#This Row],[名前]]&amp;Block[[#This Row],[レアリティ]]</f>
        <v>ユニフォーム馬門英治ICONIC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1</v>
      </c>
      <c r="C463" t="s">
        <v>206</v>
      </c>
      <c r="D463" t="s">
        <v>88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ユニフォーム百沢雄大ICONIC</v>
      </c>
    </row>
    <row r="464" spans="1:20" x14ac:dyDescent="0.35">
      <c r="A464">
        <f>VLOOKUP(Block[[#This Row],[No用]],SetNo[[No.用]:[vlookup 用]],2,FALSE)</f>
        <v>124</v>
      </c>
      <c r="B464">
        <f>IF(ROW()=2,1,IF(A463&lt;&gt;Block[[#This Row],[No]],1,B463+1))</f>
        <v>2</v>
      </c>
      <c r="C464" t="s">
        <v>206</v>
      </c>
      <c r="D464" t="s">
        <v>88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248</v>
      </c>
      <c r="K464" s="1" t="s">
        <v>175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ユニフォーム百沢雄大ICONIC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3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ユニフォーム百沢雄大ICONIC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1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174</v>
      </c>
      <c r="L466" s="1" t="s">
        <v>178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2</v>
      </c>
      <c r="C467" s="1" t="s">
        <v>702</v>
      </c>
      <c r="D467" t="s">
        <v>88</v>
      </c>
      <c r="E467" s="1" t="s">
        <v>90</v>
      </c>
      <c r="F467" t="s">
        <v>78</v>
      </c>
      <c r="G467" t="s">
        <v>75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職業体験百沢雄大ICONIC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3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248</v>
      </c>
      <c r="K468" s="1" t="s">
        <v>179</v>
      </c>
      <c r="L468" s="1" t="s">
        <v>178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職業体験百沢雄大ICONIC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4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職業体験百沢雄大ICONIC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5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248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Block[[#This Row],[服装]]&amp;Block[[#This Row],[名前]]&amp;Block[[#This Row],[レアリティ]]</f>
        <v>職業体験百沢雄大ICONIC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ユニフォーム照島游児ICONIC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ユニフォーム照島游児ICONIC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1</v>
      </c>
      <c r="C474" t="s">
        <v>149</v>
      </c>
      <c r="D474" t="s">
        <v>89</v>
      </c>
      <c r="E474" t="s">
        <v>77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制服照島游児ICONIC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2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制服照島游児ICONIC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3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制服照島游児ICONIC</v>
      </c>
    </row>
    <row r="477" spans="1:20" x14ac:dyDescent="0.35">
      <c r="A477">
        <f>VLOOKUP(Block[[#This Row],[No用]],SetNo[[No.用]:[vlookup 用]],2,FALSE)</f>
        <v>128</v>
      </c>
      <c r="B477">
        <f>IF(ROW()=2,1,IF(A476&lt;&gt;Block[[#This Row],[No]],1,B476+1))</f>
        <v>1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雪遊び照島游児ICONIC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2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175</v>
      </c>
      <c r="L478" s="1" t="s">
        <v>178</v>
      </c>
      <c r="M478">
        <v>32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雪遊び照島游児ICONIC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3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雪遊び照島游児ICONIC</v>
      </c>
    </row>
    <row r="480" spans="1:20" x14ac:dyDescent="0.35">
      <c r="A480">
        <f>VLOOKUP(Block[[#This Row],[No用]],SetNo[[No.用]:[vlookup 用]],2,FALSE)</f>
        <v>129</v>
      </c>
      <c r="B480">
        <f>IF(ROW()=2,1,IF(A479&lt;&gt;Block[[#This Row],[No]],1,B479+1))</f>
        <v>1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174</v>
      </c>
      <c r="L480" s="1" t="s">
        <v>173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2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175</v>
      </c>
      <c r="L481" s="1" t="s">
        <v>173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3</v>
      </c>
      <c r="C482" t="s">
        <v>108</v>
      </c>
      <c r="D482" t="s">
        <v>92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248</v>
      </c>
      <c r="K482" s="1" t="s">
        <v>179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ユニフォーム母畑和馬ICONIC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4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ユニフォーム母畑和馬ICONIC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5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ユニフォーム母畑和馬ICONIC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6</v>
      </c>
      <c r="C485" t="s">
        <v>108</v>
      </c>
      <c r="D485" t="s">
        <v>92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248</v>
      </c>
      <c r="K485" s="1" t="s">
        <v>183</v>
      </c>
      <c r="L485" s="1" t="s">
        <v>225</v>
      </c>
      <c r="M485">
        <v>46</v>
      </c>
      <c r="N485">
        <v>0</v>
      </c>
      <c r="O485">
        <v>56</v>
      </c>
      <c r="P485">
        <v>0</v>
      </c>
      <c r="T485" t="str">
        <f>Block[[#This Row],[服装]]&amp;Block[[#This Row],[名前]]&amp;Block[[#This Row],[レアリティ]]</f>
        <v>ユニフォーム母畑和馬ICONIC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1</v>
      </c>
      <c r="C486" t="s">
        <v>108</v>
      </c>
      <c r="D486" t="s">
        <v>93</v>
      </c>
      <c r="E486" t="s">
        <v>73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14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ユニフォーム二岐丈晴ICONIC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2</v>
      </c>
      <c r="C487" t="s">
        <v>108</v>
      </c>
      <c r="D487" t="s">
        <v>93</v>
      </c>
      <c r="E487" t="s">
        <v>73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3</v>
      </c>
      <c r="C488" t="s">
        <v>108</v>
      </c>
      <c r="D488" t="s">
        <v>93</v>
      </c>
      <c r="E488" t="s">
        <v>73</v>
      </c>
      <c r="F488" t="s">
        <v>74</v>
      </c>
      <c r="G488" t="s">
        <v>91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ユニフォーム二岐丈晴ICONIC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1</v>
      </c>
      <c r="C489" t="s">
        <v>149</v>
      </c>
      <c r="D489" t="s">
        <v>93</v>
      </c>
      <c r="E489" t="s">
        <v>90</v>
      </c>
      <c r="F489" t="s">
        <v>74</v>
      </c>
      <c r="G489" t="s">
        <v>91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制服二岐丈晴ICONIC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2</v>
      </c>
      <c r="C490" t="s">
        <v>149</v>
      </c>
      <c r="D490" t="s">
        <v>93</v>
      </c>
      <c r="E490" t="s">
        <v>90</v>
      </c>
      <c r="F490" t="s">
        <v>74</v>
      </c>
      <c r="G490" t="s">
        <v>91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制服二岐丈晴ICONIC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3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14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制服二岐丈晴ICONIC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ユニフォーム沼尻凛太郎ICONIC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ユニフォーム沼尻凛太郎ICONIC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ユニフォーム沼尻凛太郎ICONIC</v>
      </c>
    </row>
    <row r="495" spans="1:20" x14ac:dyDescent="0.35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108</v>
      </c>
      <c r="D497" t="s">
        <v>94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248</v>
      </c>
      <c r="K497" s="1" t="s">
        <v>176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ユニフォーム飯坂信義ICONIC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ユニフォーム飯坂信義ICONIC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ユニフォーム飯坂信義ICONIC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47</v>
      </c>
      <c r="N500">
        <v>0</v>
      </c>
      <c r="O500">
        <v>57</v>
      </c>
      <c r="P500">
        <v>0</v>
      </c>
      <c r="T500" t="str">
        <f>Block[[#This Row],[服装]]&amp;Block[[#This Row],[名前]]&amp;Block[[#This Row],[レアリティ]]</f>
        <v>ユニフォーム飯坂信義ICONIC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ユニフォーム東山勝道ICONIC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ユニフォーム東山勝道ICONIC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ユニフォーム東山勝道ICONIC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96</v>
      </c>
      <c r="E504" t="s">
        <v>90</v>
      </c>
      <c r="F504" t="s">
        <v>80</v>
      </c>
      <c r="G504" t="s">
        <v>91</v>
      </c>
      <c r="H504" t="s">
        <v>71</v>
      </c>
      <c r="I504">
        <v>1</v>
      </c>
      <c r="J504" t="s">
        <v>248</v>
      </c>
      <c r="M504">
        <v>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ユニフォーム土湯新ICONIC</v>
      </c>
    </row>
    <row r="505" spans="1:20" x14ac:dyDescent="0.35">
      <c r="A505">
        <f>VLOOKUP(Block[[#This Row],[No用]],SetNo[[No.用]:[vlookup 用]],2,FALSE)</f>
        <v>136</v>
      </c>
      <c r="B505">
        <f>IF(ROW()=2,1,IF(A504&lt;&gt;Block[[#This Row],[No]],1,B504+1))</f>
        <v>1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ユニフォーム中島猛ICONIC</v>
      </c>
    </row>
    <row r="506" spans="1:20" x14ac:dyDescent="0.35">
      <c r="A506">
        <f>VLOOKUP(Block[[#This Row],[No用]],SetNo[[No.用]:[vlookup 用]],2,FALSE)</f>
        <v>136</v>
      </c>
      <c r="B506">
        <f>IF(ROW()=2,1,IF(A505&lt;&gt;Block[[#This Row],[No]],1,B505+1))</f>
        <v>2</v>
      </c>
      <c r="C506" t="s">
        <v>206</v>
      </c>
      <c r="D506" t="s">
        <v>569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ユニフォーム中島猛ICONIC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3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ユニフォーム中島猛ICONIC</v>
      </c>
    </row>
    <row r="508" spans="1:20" x14ac:dyDescent="0.35">
      <c r="A508">
        <f>VLOOKUP(Block[[#This Row],[No用]],SetNo[[No.用]:[vlookup 用]],2,FALSE)</f>
        <v>137</v>
      </c>
      <c r="B508">
        <f>IF(ROW()=2,1,IF(A507&lt;&gt;Block[[#This Row],[No]],1,B507+1))</f>
        <v>1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ユニフォーム白石優希ICONIC</v>
      </c>
    </row>
    <row r="509" spans="1:20" x14ac:dyDescent="0.35">
      <c r="A509">
        <f>VLOOKUP(Block[[#This Row],[No用]],SetNo[[No.用]:[vlookup 用]],2,FALSE)</f>
        <v>137</v>
      </c>
      <c r="B509">
        <f>IF(ROW()=2,1,IF(A508&lt;&gt;Block[[#This Row],[No]],1,B508+1))</f>
        <v>2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ユニフォーム白石優希ICONIC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3</v>
      </c>
      <c r="C510" t="s">
        <v>206</v>
      </c>
      <c r="D510" t="s">
        <v>572</v>
      </c>
      <c r="E510" t="s">
        <v>24</v>
      </c>
      <c r="F510" t="s">
        <v>25</v>
      </c>
      <c r="G510" t="s">
        <v>156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ユニフォーム白石優希ICONIC</v>
      </c>
    </row>
    <row r="511" spans="1:20" x14ac:dyDescent="0.35">
      <c r="A511">
        <f>VLOOKUP(Block[[#This Row],[No用]],SetNo[[No.用]:[vlookup 用]],2,FALSE)</f>
        <v>138</v>
      </c>
      <c r="B511">
        <f>IF(ROW()=2,1,IF(A510&lt;&gt;Block[[#This Row],[No]],1,B510+1))</f>
        <v>1</v>
      </c>
      <c r="C511" t="s">
        <v>206</v>
      </c>
      <c r="D511" t="s">
        <v>575</v>
      </c>
      <c r="E511" t="s">
        <v>28</v>
      </c>
      <c r="F511" t="s">
        <v>31</v>
      </c>
      <c r="G511" t="s">
        <v>156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ユニフォーム花山一雅ICONIC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2</v>
      </c>
      <c r="C512" t="s">
        <v>206</v>
      </c>
      <c r="D512" t="s">
        <v>575</v>
      </c>
      <c r="E512" t="s">
        <v>28</v>
      </c>
      <c r="F512" t="s">
        <v>31</v>
      </c>
      <c r="G512" t="s">
        <v>156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ユニフォーム花山一雅ICONIC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3</v>
      </c>
      <c r="C513" t="s">
        <v>206</v>
      </c>
      <c r="D513" t="s">
        <v>575</v>
      </c>
      <c r="E513" t="s">
        <v>28</v>
      </c>
      <c r="F513" t="s">
        <v>31</v>
      </c>
      <c r="G513" t="s">
        <v>156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ユニフォーム花山一雅ICONIC</v>
      </c>
    </row>
    <row r="514" spans="1:20" x14ac:dyDescent="0.35">
      <c r="A514">
        <f>VLOOKUP(Block[[#This Row],[No用]],SetNo[[No.用]:[vlookup 用]],2,FALSE)</f>
        <v>139</v>
      </c>
      <c r="B514">
        <f>IF(ROW()=2,1,IF(A513&lt;&gt;Block[[#This Row],[No]],1,B513+1))</f>
        <v>1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2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3</v>
      </c>
      <c r="C516" t="s">
        <v>206</v>
      </c>
      <c r="D516" t="s">
        <v>578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176</v>
      </c>
      <c r="L516" s="1" t="s">
        <v>173</v>
      </c>
      <c r="M516">
        <v>42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ユニフォーム鳴子哲平ICONIC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4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ユニフォーム鳴子哲平ICONIC</v>
      </c>
    </row>
    <row r="518" spans="1:20" x14ac:dyDescent="0.35">
      <c r="A518">
        <f>VLOOKUP(Block[[#This Row],[No用]],SetNo[[No.用]:[vlookup 用]],2,FALSE)</f>
        <v>139</v>
      </c>
      <c r="B518">
        <f>IF(ROW()=2,1,IF(A517&lt;&gt;Block[[#This Row],[No]],1,B517+1))</f>
        <v>5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32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ユニフォーム鳴子哲平ICONIC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6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46</v>
      </c>
      <c r="N519">
        <v>0</v>
      </c>
      <c r="O519">
        <v>56</v>
      </c>
      <c r="P519">
        <v>0</v>
      </c>
      <c r="T519" t="str">
        <f>Block[[#This Row],[服装]]&amp;Block[[#This Row],[名前]]&amp;Block[[#This Row],[レアリティ]]</f>
        <v>ユニフォーム鳴子哲平ICONIC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1</v>
      </c>
      <c r="C520" t="s">
        <v>206</v>
      </c>
      <c r="D520" t="s">
        <v>581</v>
      </c>
      <c r="E520" t="s">
        <v>28</v>
      </c>
      <c r="F520" t="s">
        <v>21</v>
      </c>
      <c r="G520" t="s">
        <v>156</v>
      </c>
      <c r="H520" t="s">
        <v>71</v>
      </c>
      <c r="I520">
        <v>1</v>
      </c>
      <c r="J520" t="s">
        <v>248</v>
      </c>
      <c r="M520">
        <v>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ユニフォーム秋保和光ICONIC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192</v>
      </c>
      <c r="L523" s="1" t="s">
        <v>173</v>
      </c>
      <c r="M523">
        <v>41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ユニフォーム松島剛ICONIC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ユニフォーム松島剛ICONIC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584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ユニフォーム松島剛ICONIC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584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43</v>
      </c>
      <c r="N526">
        <v>0</v>
      </c>
      <c r="O526">
        <v>54</v>
      </c>
      <c r="P526">
        <v>0</v>
      </c>
      <c r="T526" t="str">
        <f>Block[[#This Row],[服装]]&amp;Block[[#This Row],[名前]]&amp;Block[[#This Row],[レアリティ]]</f>
        <v>ユニフォーム松島剛ICONIC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ユニフォーム川渡瞬己ICONIC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2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ユニフォーム川渡瞬己ICONIC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3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ユニフォーム川渡瞬己ICONIC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ユニフォーム牛島若利ICONIC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ユニフォーム牛島若利ICONIC</v>
      </c>
    </row>
    <row r="533" spans="1:20" x14ac:dyDescent="0.35">
      <c r="A533">
        <f>VLOOKUP(Block[[#This Row],[No用]],SetNo[[No.用]:[vlookup 用]],2,FALSE)</f>
        <v>144</v>
      </c>
      <c r="B533">
        <f>IF(ROW()=2,1,IF(A532&lt;&gt;Block[[#This Row],[No]],1,B532+1))</f>
        <v>1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水着牛島若利ICONIC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2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水着牛島若利ICONIC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3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水着牛島若利ICONIC</v>
      </c>
    </row>
    <row r="536" spans="1:20" x14ac:dyDescent="0.35">
      <c r="A536">
        <f>VLOOKUP(Block[[#This Row],[No用]],SetNo[[No.用]:[vlookup 用]],2,FALSE)</f>
        <v>145</v>
      </c>
      <c r="B536">
        <f>IF(ROW()=2,1,IF(A535&lt;&gt;Block[[#This Row],[No]],1,B535+1))</f>
        <v>1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新年牛島若利ICONIC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2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新年牛島若利ICONIC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3</v>
      </c>
      <c r="C538" s="1" t="s">
        <v>935</v>
      </c>
      <c r="D538" t="s">
        <v>109</v>
      </c>
      <c r="E538" s="1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新年牛島若利ICONIC</v>
      </c>
    </row>
    <row r="539" spans="1:20" x14ac:dyDescent="0.35">
      <c r="A539">
        <f>VLOOKUP(Block[[#This Row],[No用]],SetNo[[No.用]:[vlookup 用]],2,FALSE)</f>
        <v>146</v>
      </c>
      <c r="B539">
        <f>IF(ROW()=2,1,IF(A538&lt;&gt;Block[[#This Row],[No]],1,B538+1))</f>
        <v>1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2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3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176</v>
      </c>
      <c r="L541" s="1" t="s">
        <v>173</v>
      </c>
      <c r="M541">
        <v>44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ユニフォーム天童覚ICONIC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4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36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ユニフォーム天童覚ICONIC</v>
      </c>
    </row>
    <row r="543" spans="1:20" x14ac:dyDescent="0.35">
      <c r="A543">
        <f>VLOOKUP(Block[[#This Row],[No用]],SetNo[[No.用]:[vlookup 用]],2,FALSE)</f>
        <v>146</v>
      </c>
      <c r="B543">
        <f>IF(ROW()=2,1,IF(A542&lt;&gt;Block[[#This Row],[No]],1,B542+1))</f>
        <v>5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ユニフォーム天童覚ICONIC</v>
      </c>
    </row>
    <row r="544" spans="1:20" x14ac:dyDescent="0.35">
      <c r="A544">
        <f>VLOOKUP(Block[[#This Row],[No用]],SetNo[[No.用]:[vlookup 用]],2,FALSE)</f>
        <v>146</v>
      </c>
      <c r="B544">
        <f>IF(ROW()=2,1,IF(A543&lt;&gt;Block[[#This Row],[No]],1,B543+1))</f>
        <v>6</v>
      </c>
      <c r="C544" t="s">
        <v>108</v>
      </c>
      <c r="D544" t="s">
        <v>110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225</v>
      </c>
      <c r="M544">
        <v>48</v>
      </c>
      <c r="N544">
        <v>0</v>
      </c>
      <c r="O544">
        <v>58</v>
      </c>
      <c r="P544">
        <v>0</v>
      </c>
      <c r="T544" t="str">
        <f>Block[[#This Row],[服装]]&amp;Block[[#This Row],[名前]]&amp;Block[[#This Row],[レアリティ]]</f>
        <v>ユニフォーム天童覚ICONIC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1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147</v>
      </c>
      <c r="B546">
        <f>IF(ROW()=2,1,IF(A545&lt;&gt;Block[[#This Row],[No]],1,B545+1))</f>
        <v>2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147</v>
      </c>
      <c r="B547">
        <f>IF(ROW()=2,1,IF(A546&lt;&gt;Block[[#This Row],[No]],1,B546+1))</f>
        <v>3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176</v>
      </c>
      <c r="L547" s="1" t="s">
        <v>173</v>
      </c>
      <c r="M547">
        <v>44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水着天童覚ICONIC</v>
      </c>
    </row>
    <row r="548" spans="1:20" x14ac:dyDescent="0.35">
      <c r="A548">
        <f>VLOOKUP(Block[[#This Row],[No用]],SetNo[[No.用]:[vlookup 用]],2,FALSE)</f>
        <v>147</v>
      </c>
      <c r="B548">
        <f>IF(ROW()=2,1,IF(A547&lt;&gt;Block[[#This Row],[No]],1,B547+1))</f>
        <v>4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水着天童覚ICONIC</v>
      </c>
    </row>
    <row r="549" spans="1:20" x14ac:dyDescent="0.35">
      <c r="A549">
        <f>VLOOKUP(Block[[#This Row],[No用]],SetNo[[No.用]:[vlookup 用]],2,FALSE)</f>
        <v>147</v>
      </c>
      <c r="B549">
        <f>IF(ROW()=2,1,IF(A548&lt;&gt;Block[[#This Row],[No]],1,B548+1))</f>
        <v>5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水着天童覚ICONIC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6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225</v>
      </c>
      <c r="M550">
        <v>48</v>
      </c>
      <c r="N550">
        <v>0</v>
      </c>
      <c r="O550">
        <v>58</v>
      </c>
      <c r="P550">
        <v>0</v>
      </c>
      <c r="T550" t="str">
        <f>Block[[#This Row],[服装]]&amp;Block[[#This Row],[名前]]&amp;Block[[#This Row],[レアリティ]]</f>
        <v>水着天童覚ICONIC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1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148</v>
      </c>
      <c r="B552">
        <f>IF(ROW()=2,1,IF(A551&lt;&gt;Block[[#This Row],[No]],1,B551+1))</f>
        <v>2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175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3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176</v>
      </c>
      <c r="L553" s="1" t="s">
        <v>173</v>
      </c>
      <c r="M553">
        <v>44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4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179</v>
      </c>
      <c r="L554" s="1" t="s">
        <v>178</v>
      </c>
      <c r="M554">
        <v>37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5</v>
      </c>
      <c r="C555" s="1" t="s">
        <v>895</v>
      </c>
      <c r="D555" t="s">
        <v>110</v>
      </c>
      <c r="E555" s="1" t="s">
        <v>77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文化祭天童覚ICONIC</v>
      </c>
    </row>
    <row r="556" spans="1:20" x14ac:dyDescent="0.35">
      <c r="A556">
        <f>VLOOKUP(Block[[#This Row],[No用]],SetNo[[No.用]:[vlookup 用]],2,FALSE)</f>
        <v>148</v>
      </c>
      <c r="B556">
        <f>IF(ROW()=2,1,IF(A555&lt;&gt;Block[[#This Row],[No]],1,B555+1))</f>
        <v>6</v>
      </c>
      <c r="C556" s="1" t="s">
        <v>895</v>
      </c>
      <c r="D556" t="s">
        <v>110</v>
      </c>
      <c r="E556" s="1" t="s">
        <v>77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178</v>
      </c>
      <c r="M556">
        <v>34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文化祭天童覚ICONIC</v>
      </c>
    </row>
    <row r="557" spans="1:20" x14ac:dyDescent="0.35">
      <c r="A557">
        <f>VLOOKUP(Block[[#This Row],[No用]],SetNo[[No.用]:[vlookup 用]],2,FALSE)</f>
        <v>148</v>
      </c>
      <c r="B557">
        <f>IF(ROW()=2,1,IF(A556&lt;&gt;Block[[#This Row],[No]],1,B556+1))</f>
        <v>7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文化祭天童覚ICONIC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8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225</v>
      </c>
      <c r="M558">
        <v>48</v>
      </c>
      <c r="N558">
        <v>0</v>
      </c>
      <c r="O558">
        <v>58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149</v>
      </c>
      <c r="B559">
        <f>IF(ROW()=2,1,IF(A558&lt;&gt;Block[[#This Row],[No]],1,B558+1))</f>
        <v>1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ユニフォーム五色工ICONIC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2</v>
      </c>
      <c r="C560" t="s">
        <v>108</v>
      </c>
      <c r="D560" t="s">
        <v>111</v>
      </c>
      <c r="E560" t="s">
        <v>77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3</v>
      </c>
      <c r="C561" t="s">
        <v>108</v>
      </c>
      <c r="D561" t="s">
        <v>111</v>
      </c>
      <c r="E561" t="s">
        <v>77</v>
      </c>
      <c r="F561" t="s">
        <v>78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ユニフォーム五色工ICONIC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1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職業体験五色工ICONIC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2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職業体験五色工ICONIC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3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職業体験五色工ICONIC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248</v>
      </c>
      <c r="K565" t="s">
        <v>404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ユニフォーム白布賢二郎ICONIC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248</v>
      </c>
      <c r="K566" t="s">
        <v>405</v>
      </c>
      <c r="L566" t="s">
        <v>264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108</v>
      </c>
      <c r="D567" t="s">
        <v>112</v>
      </c>
      <c r="E567" t="s">
        <v>73</v>
      </c>
      <c r="F567" t="s">
        <v>74</v>
      </c>
      <c r="G567" t="s">
        <v>118</v>
      </c>
      <c r="H567" t="s">
        <v>71</v>
      </c>
      <c r="I567">
        <v>1</v>
      </c>
      <c r="J567" t="s">
        <v>248</v>
      </c>
      <c r="K567" s="1" t="s">
        <v>249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ユニフォーム白布賢二郎ICONIC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1</v>
      </c>
      <c r="C568" t="s">
        <v>391</v>
      </c>
      <c r="D568" t="s">
        <v>392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248</v>
      </c>
      <c r="K568" t="s">
        <v>404</v>
      </c>
      <c r="L568" t="s">
        <v>264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探偵白布賢二郎ICONIC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2</v>
      </c>
      <c r="C569" t="s">
        <v>391</v>
      </c>
      <c r="D569" t="s">
        <v>392</v>
      </c>
      <c r="E569" t="s">
        <v>24</v>
      </c>
      <c r="F569" t="s">
        <v>31</v>
      </c>
      <c r="G569" t="s">
        <v>157</v>
      </c>
      <c r="H569" t="s">
        <v>71</v>
      </c>
      <c r="I569">
        <v>1</v>
      </c>
      <c r="J569" t="s">
        <v>248</v>
      </c>
      <c r="K569" t="s">
        <v>405</v>
      </c>
      <c r="L569" t="s">
        <v>264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探偵白布賢二郎ICONIC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3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248</v>
      </c>
      <c r="K570" s="1" t="s">
        <v>249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探偵白布賢二郎ICONIC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1</v>
      </c>
      <c r="C571" t="s">
        <v>108</v>
      </c>
      <c r="D571" t="s">
        <v>113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174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ユニフォーム大平獅音ICONIC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2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175</v>
      </c>
      <c r="L572" t="s">
        <v>398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ユニフォーム大平獅音ICONIC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3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248</v>
      </c>
      <c r="K573" s="1" t="s">
        <v>249</v>
      </c>
      <c r="L573" t="s">
        <v>398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ユニフォーム大平獅音ICONIC</v>
      </c>
    </row>
    <row r="574" spans="1:20" x14ac:dyDescent="0.35">
      <c r="A574">
        <f>VLOOKUP(Block[[#This Row],[No用]],SetNo[[No.用]:[vlookup 用]],2,FALSE)</f>
        <v>154</v>
      </c>
      <c r="B574">
        <f>IF(ROW()=2,1,IF(A573&lt;&gt;Block[[#This Row],[No]],1,B573+1))</f>
        <v>1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2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s="1" t="s">
        <v>173</v>
      </c>
      <c r="M575">
        <v>39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3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176</v>
      </c>
      <c r="L576" s="1" t="s">
        <v>162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4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234</v>
      </c>
      <c r="L577" s="1" t="s">
        <v>162</v>
      </c>
      <c r="M577">
        <v>36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5</v>
      </c>
      <c r="C578" t="s">
        <v>108</v>
      </c>
      <c r="D578" t="s">
        <v>114</v>
      </c>
      <c r="E578" t="s">
        <v>73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179</v>
      </c>
      <c r="L578" s="1" t="s">
        <v>173</v>
      </c>
      <c r="M578">
        <v>47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ユニフォーム川西太一ICONIC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6</v>
      </c>
      <c r="C579" t="s">
        <v>108</v>
      </c>
      <c r="D579" t="s">
        <v>114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177</v>
      </c>
      <c r="L579" s="1" t="s">
        <v>162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ユニフォーム川西太一ICONIC</v>
      </c>
    </row>
    <row r="580" spans="1:20" x14ac:dyDescent="0.35">
      <c r="A580">
        <f>VLOOKUP(Block[[#This Row],[No用]],SetNo[[No.用]:[vlookup 用]],2,FALSE)</f>
        <v>154</v>
      </c>
      <c r="B580">
        <f>IF(ROW()=2,1,IF(A579&lt;&gt;Block[[#This Row],[No]],1,B579+1))</f>
        <v>7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ユニフォーム川西太一ICONIC</v>
      </c>
    </row>
    <row r="581" spans="1:20" x14ac:dyDescent="0.35">
      <c r="A581">
        <f>VLOOKUP(Block[[#This Row],[No用]],SetNo[[No.用]:[vlookup 用]],2,FALSE)</f>
        <v>154</v>
      </c>
      <c r="B581">
        <f>IF(ROW()=2,1,IF(A580&lt;&gt;Block[[#This Row],[No]],1,B580+1))</f>
        <v>8</v>
      </c>
      <c r="C581" t="s">
        <v>108</v>
      </c>
      <c r="D581" t="s">
        <v>114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248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Block[[#This Row],[服装]]&amp;Block[[#This Row],[名前]]&amp;Block[[#This Row],[レアリティ]]</f>
        <v>ユニフォーム川西太一ICONIC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1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155</v>
      </c>
      <c r="B583">
        <f>IF(ROW()=2,1,IF(A582&lt;&gt;Block[[#This Row],[No]],1,B582+1))</f>
        <v>2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155</v>
      </c>
      <c r="B584">
        <f>IF(ROW()=2,1,IF(A583&lt;&gt;Block[[#This Row],[No]],1,B583+1))</f>
        <v>3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176</v>
      </c>
      <c r="L584" s="1" t="s">
        <v>178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155</v>
      </c>
      <c r="B585">
        <f>IF(ROW()=2,1,IF(A584&lt;&gt;Block[[#This Row],[No]],1,B584+1))</f>
        <v>4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234</v>
      </c>
      <c r="L585" s="1" t="s">
        <v>178</v>
      </c>
      <c r="M585">
        <v>38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155</v>
      </c>
      <c r="B586">
        <f>IF(ROW()=2,1,IF(A585&lt;&gt;Block[[#This Row],[No]],1,B585+1))</f>
        <v>5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179</v>
      </c>
      <c r="L586" s="1" t="s">
        <v>173</v>
      </c>
      <c r="M586">
        <v>47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155</v>
      </c>
      <c r="B587">
        <f>IF(ROW()=2,1,IF(A586&lt;&gt;Block[[#This Row],[No]],1,B586+1))</f>
        <v>6</v>
      </c>
      <c r="C587" s="1" t="s">
        <v>1122</v>
      </c>
      <c r="D587" s="1" t="s">
        <v>114</v>
      </c>
      <c r="E587" s="1" t="s">
        <v>90</v>
      </c>
      <c r="F587" s="1" t="s">
        <v>82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路地裏川西太一ICONIC</v>
      </c>
    </row>
    <row r="588" spans="1:20" x14ac:dyDescent="0.35">
      <c r="A588">
        <f>VLOOKUP(Block[[#This Row],[No用]],SetNo[[No.用]:[vlookup 用]],2,FALSE)</f>
        <v>155</v>
      </c>
      <c r="B588">
        <f>IF(ROW()=2,1,IF(A587&lt;&gt;Block[[#This Row],[No]],1,B587+1))</f>
        <v>7</v>
      </c>
      <c r="C588" s="1" t="s">
        <v>1122</v>
      </c>
      <c r="D588" s="1" t="s">
        <v>114</v>
      </c>
      <c r="E588" s="1" t="s">
        <v>90</v>
      </c>
      <c r="F588" s="1" t="s">
        <v>82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路地裏川西太一ICONIC</v>
      </c>
    </row>
    <row r="589" spans="1:20" x14ac:dyDescent="0.35">
      <c r="A589">
        <f>VLOOKUP(Block[[#This Row],[No用]],SetNo[[No.用]:[vlookup 用]],2,FALSE)</f>
        <v>155</v>
      </c>
      <c r="B589">
        <f>IF(ROW()=2,1,IF(A588&lt;&gt;Block[[#This Row],[No]],1,B588+1))</f>
        <v>8</v>
      </c>
      <c r="C589" s="1" t="s">
        <v>1122</v>
      </c>
      <c r="D589" s="1" t="s">
        <v>114</v>
      </c>
      <c r="E589" s="1" t="s">
        <v>90</v>
      </c>
      <c r="F589" s="1" t="s">
        <v>82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Block[[#This Row],[服装]]&amp;Block[[#This Row],[名前]]&amp;Block[[#This Row],[レアリティ]]</f>
        <v>路地裏川西太一ICONIC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9</v>
      </c>
      <c r="C590" s="1" t="s">
        <v>1122</v>
      </c>
      <c r="D590" s="1" t="s">
        <v>114</v>
      </c>
      <c r="E590" s="1" t="s">
        <v>90</v>
      </c>
      <c r="F590" s="1" t="s">
        <v>82</v>
      </c>
      <c r="G590" s="1" t="s">
        <v>118</v>
      </c>
      <c r="H590" s="1" t="s">
        <v>71</v>
      </c>
      <c r="I590">
        <v>1</v>
      </c>
      <c r="J590" t="s">
        <v>248</v>
      </c>
      <c r="K590" s="1" t="s">
        <v>175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Block[[#This Row],[服装]]&amp;Block[[#This Row],[名前]]&amp;Block[[#This Row],[レアリティ]]</f>
        <v>路地裏川西太一ICONIC</v>
      </c>
    </row>
    <row r="591" spans="1:20" x14ac:dyDescent="0.35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s="1" t="s">
        <v>662</v>
      </c>
      <c r="E591" t="s">
        <v>73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ユニフォーム瀬見英太ICONIC</v>
      </c>
    </row>
    <row r="592" spans="1:20" x14ac:dyDescent="0.35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s="1" t="s">
        <v>662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s="1" t="s">
        <v>662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ユニフォーム瀬見英太ICONIC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988</v>
      </c>
      <c r="D594" s="1" t="s">
        <v>662</v>
      </c>
      <c r="E594" s="1" t="s">
        <v>90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雪遊び瀬見英太ICONIC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988</v>
      </c>
      <c r="D595" s="1" t="s">
        <v>662</v>
      </c>
      <c r="E595" s="1" t="s">
        <v>90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雪遊び瀬見英太ICONIC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988</v>
      </c>
      <c r="D596" s="1" t="s">
        <v>662</v>
      </c>
      <c r="E596" s="1" t="s">
        <v>90</v>
      </c>
      <c r="F596" t="s">
        <v>74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雪遊び瀬見英太ICONIC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t="s">
        <v>115</v>
      </c>
      <c r="E597" t="s">
        <v>73</v>
      </c>
      <c r="F597" t="s">
        <v>80</v>
      </c>
      <c r="G597" t="s">
        <v>118</v>
      </c>
      <c r="H597" t="s">
        <v>71</v>
      </c>
      <c r="I597">
        <v>1</v>
      </c>
      <c r="J597" t="s">
        <v>248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ユニフォーム山形隼人ICONIC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t="s">
        <v>108</v>
      </c>
      <c r="D598" t="s">
        <v>186</v>
      </c>
      <c r="E598" t="s">
        <v>77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ユニフォーム宮侑ICONIC</v>
      </c>
    </row>
    <row r="599" spans="1:20" x14ac:dyDescent="0.3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t="s">
        <v>108</v>
      </c>
      <c r="D599" t="s">
        <v>186</v>
      </c>
      <c r="E599" t="s">
        <v>77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t="s">
        <v>108</v>
      </c>
      <c r="D600" t="s">
        <v>186</v>
      </c>
      <c r="E600" t="s">
        <v>77</v>
      </c>
      <c r="F600" t="s">
        <v>74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ユニフォーム宮侑ICONIC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s="1" t="s">
        <v>895</v>
      </c>
      <c r="D601" t="s">
        <v>186</v>
      </c>
      <c r="E601" s="1" t="s">
        <v>73</v>
      </c>
      <c r="F601" t="s">
        <v>74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文化祭宮侑ICONIC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s="1" t="s">
        <v>895</v>
      </c>
      <c r="D602" t="s">
        <v>186</v>
      </c>
      <c r="E602" s="1" t="s">
        <v>73</v>
      </c>
      <c r="F602" t="s">
        <v>74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s="1" t="s">
        <v>895</v>
      </c>
      <c r="D603" t="s">
        <v>186</v>
      </c>
      <c r="E603" s="1" t="s">
        <v>73</v>
      </c>
      <c r="F603" t="s">
        <v>74</v>
      </c>
      <c r="G603" t="s">
        <v>185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文化祭宮侑ICONIC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1</v>
      </c>
      <c r="C604" s="1" t="s">
        <v>1071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RPG宮侑ICONIC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2</v>
      </c>
      <c r="C605" s="1" t="s">
        <v>1071</v>
      </c>
      <c r="D605" s="1" t="s">
        <v>186</v>
      </c>
      <c r="E605" s="1" t="s">
        <v>90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RPG宮侑ICONIC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3</v>
      </c>
      <c r="C606" s="1" t="s">
        <v>1071</v>
      </c>
      <c r="D606" s="1" t="s">
        <v>186</v>
      </c>
      <c r="E606" s="1" t="s">
        <v>90</v>
      </c>
      <c r="F606" s="1" t="s">
        <v>74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RPG宮侑ICONIC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1</v>
      </c>
      <c r="C607" t="s">
        <v>108</v>
      </c>
      <c r="D607" t="s">
        <v>187</v>
      </c>
      <c r="E607" t="s">
        <v>90</v>
      </c>
      <c r="F607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174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ユニフォーム宮治ICONIC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2</v>
      </c>
      <c r="C608" t="s">
        <v>108</v>
      </c>
      <c r="D608" t="s">
        <v>187</v>
      </c>
      <c r="E608" t="s">
        <v>90</v>
      </c>
      <c r="F608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175</v>
      </c>
      <c r="L608" s="1" t="s">
        <v>178</v>
      </c>
      <c r="M608">
        <v>33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3</v>
      </c>
      <c r="C609" t="s">
        <v>108</v>
      </c>
      <c r="D609" t="s">
        <v>187</v>
      </c>
      <c r="E609" t="s">
        <v>90</v>
      </c>
      <c r="F609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ユニフォーム宮治ICONIC</v>
      </c>
    </row>
    <row r="610" spans="1:20" x14ac:dyDescent="0.35">
      <c r="A610">
        <f>VLOOKUP(Block[[#This Row],[No用]],SetNo[[No.用]:[vlookup 用]],2,FALSE)</f>
        <v>163</v>
      </c>
      <c r="B610">
        <f>IF(ROW()=2,1,IF(A609&lt;&gt;Block[[#This Row],[No]],1,B609+1))</f>
        <v>1</v>
      </c>
      <c r="C610" s="1" t="s">
        <v>1071</v>
      </c>
      <c r="D610" s="1" t="s">
        <v>187</v>
      </c>
      <c r="E610" s="1" t="s">
        <v>90</v>
      </c>
      <c r="F610" s="1" t="s">
        <v>78</v>
      </c>
      <c r="G610" s="1" t="s">
        <v>185</v>
      </c>
      <c r="H610" s="1" t="s">
        <v>71</v>
      </c>
      <c r="I610">
        <v>1</v>
      </c>
      <c r="J610" t="s">
        <v>248</v>
      </c>
      <c r="K610" s="1" t="s">
        <v>174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RPG宮治ICONIC</v>
      </c>
    </row>
    <row r="611" spans="1:20" x14ac:dyDescent="0.35">
      <c r="A611">
        <f>VLOOKUP(Block[[#This Row],[No用]],SetNo[[No.用]:[vlookup 用]],2,FALSE)</f>
        <v>163</v>
      </c>
      <c r="B611">
        <f>IF(ROW()=2,1,IF(A610&lt;&gt;Block[[#This Row],[No]],1,B610+1))</f>
        <v>2</v>
      </c>
      <c r="C611" s="1" t="s">
        <v>1071</v>
      </c>
      <c r="D611" s="1" t="s">
        <v>187</v>
      </c>
      <c r="E611" s="1" t="s">
        <v>90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178</v>
      </c>
      <c r="M611">
        <v>33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RPG宮治ICONIC</v>
      </c>
    </row>
    <row r="612" spans="1:20" x14ac:dyDescent="0.35">
      <c r="A612">
        <f>VLOOKUP(Block[[#This Row],[No用]],SetNo[[No.用]:[vlookup 用]],2,FALSE)</f>
        <v>163</v>
      </c>
      <c r="B612">
        <f>IF(ROW()=2,1,IF(A611&lt;&gt;Block[[#This Row],[No]],1,B611+1))</f>
        <v>3</v>
      </c>
      <c r="C612" s="1" t="s">
        <v>1071</v>
      </c>
      <c r="D612" s="1" t="s">
        <v>187</v>
      </c>
      <c r="E612" s="1" t="s">
        <v>90</v>
      </c>
      <c r="F612" s="1" t="s">
        <v>78</v>
      </c>
      <c r="G612" s="1" t="s">
        <v>185</v>
      </c>
      <c r="H612" s="1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RPG宮治ICONIC</v>
      </c>
    </row>
    <row r="613" spans="1:20" x14ac:dyDescent="0.35">
      <c r="A613">
        <f>VLOOKUP(Block[[#This Row],[No用]],SetNo[[No.用]:[vlookup 用]],2,FALSE)</f>
        <v>164</v>
      </c>
      <c r="B613">
        <f>IF(ROW()=2,1,IF(A612&lt;&gt;Block[[#This Row],[No]],1,B612+1))</f>
        <v>1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164</v>
      </c>
      <c r="B614">
        <f>IF(ROW()=2,1,IF(A613&lt;&gt;Block[[#This Row],[No]],1,B613+1))</f>
        <v>2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164</v>
      </c>
      <c r="B615">
        <f>IF(ROW()=2,1,IF(A614&lt;&gt;Block[[#This Row],[No]],1,B614+1))</f>
        <v>3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176</v>
      </c>
      <c r="L615" s="1" t="s">
        <v>162</v>
      </c>
      <c r="M615">
        <v>34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164</v>
      </c>
      <c r="B616">
        <f>IF(ROW()=2,1,IF(A615&lt;&gt;Block[[#This Row],[No]],1,B615+1))</f>
        <v>4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179</v>
      </c>
      <c r="L616" s="1" t="s">
        <v>173</v>
      </c>
      <c r="M616">
        <v>40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164</v>
      </c>
      <c r="B617">
        <f>IF(ROW()=2,1,IF(A616&lt;&gt;Block[[#This Row],[No]],1,B616+1))</f>
        <v>5</v>
      </c>
      <c r="C617" t="s">
        <v>108</v>
      </c>
      <c r="D617" t="s">
        <v>188</v>
      </c>
      <c r="E617" t="s">
        <v>77</v>
      </c>
      <c r="F617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192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ユニフォーム角名倫太郎ICONIC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6</v>
      </c>
      <c r="C618" t="s">
        <v>108</v>
      </c>
      <c r="D618" t="s">
        <v>188</v>
      </c>
      <c r="E618" t="s">
        <v>77</v>
      </c>
      <c r="F618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177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ユニフォーム角名倫太郎ICONIC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7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37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ユニフォーム角名倫太郎ICONIC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8</v>
      </c>
      <c r="C620" t="s">
        <v>108</v>
      </c>
      <c r="D620" t="s">
        <v>188</v>
      </c>
      <c r="E620" t="s">
        <v>77</v>
      </c>
      <c r="F620" t="s">
        <v>82</v>
      </c>
      <c r="G620" t="s">
        <v>185</v>
      </c>
      <c r="H620" t="s">
        <v>71</v>
      </c>
      <c r="I620">
        <v>1</v>
      </c>
      <c r="J620" t="s">
        <v>248</v>
      </c>
      <c r="K620" s="1" t="s">
        <v>183</v>
      </c>
      <c r="L620" s="1" t="s">
        <v>225</v>
      </c>
      <c r="M620">
        <v>47</v>
      </c>
      <c r="N620">
        <v>0</v>
      </c>
      <c r="O620">
        <v>57</v>
      </c>
      <c r="P620">
        <v>0</v>
      </c>
      <c r="T620" t="str">
        <f>Block[[#This Row],[服装]]&amp;Block[[#This Row],[名前]]&amp;Block[[#This Row],[レアリティ]]</f>
        <v>ユニフォーム角名倫太郎ICONIC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174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175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176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s="1" t="s">
        <v>1049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179</v>
      </c>
      <c r="L624" s="1" t="s">
        <v>173</v>
      </c>
      <c r="M624">
        <v>40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サバゲ角名倫太郎ICONIC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192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サバゲ角名倫太郎ICONIC</v>
      </c>
    </row>
    <row r="626" spans="1:20" x14ac:dyDescent="0.35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サバゲ角名倫太郎ICONIC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7</v>
      </c>
      <c r="C627" s="1" t="s">
        <v>1049</v>
      </c>
      <c r="D627" s="1" t="s">
        <v>188</v>
      </c>
      <c r="E627" s="1" t="s">
        <v>73</v>
      </c>
      <c r="F627" s="1" t="s">
        <v>82</v>
      </c>
      <c r="G627" s="1" t="s">
        <v>185</v>
      </c>
      <c r="H627" s="1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37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サバゲ角名倫太郎ICONIC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108</v>
      </c>
      <c r="D628" t="s">
        <v>189</v>
      </c>
      <c r="E628" t="s">
        <v>77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ユニフォーム北信介ICONIC</v>
      </c>
    </row>
    <row r="629" spans="1:20" x14ac:dyDescent="0.35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t="s">
        <v>108</v>
      </c>
      <c r="D629" t="s">
        <v>189</v>
      </c>
      <c r="E629" t="s">
        <v>77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ユニフォーム北信介ICONIC</v>
      </c>
    </row>
    <row r="630" spans="1:20" x14ac:dyDescent="0.35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t="s">
        <v>108</v>
      </c>
      <c r="D630" t="s">
        <v>189</v>
      </c>
      <c r="E630" t="s">
        <v>77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ユニフォーム北信介ICONIC</v>
      </c>
    </row>
    <row r="631" spans="1:20" x14ac:dyDescent="0.35">
      <c r="A631">
        <f>VLOOKUP(Block[[#This Row],[No用]],SetNo[[No.用]:[vlookup 用]],2,FALSE)</f>
        <v>166</v>
      </c>
      <c r="B631">
        <f>IF(ROW()=2,1,IF(A630&lt;&gt;Block[[#This Row],[No]],1,B630+1))</f>
        <v>4</v>
      </c>
      <c r="C631" t="s">
        <v>108</v>
      </c>
      <c r="D631" t="s">
        <v>189</v>
      </c>
      <c r="E631" t="s">
        <v>77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ユニフォーム北信介ICONIC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1</v>
      </c>
      <c r="C632" s="1" t="s">
        <v>915</v>
      </c>
      <c r="D632" t="s">
        <v>189</v>
      </c>
      <c r="E632" s="1" t="s">
        <v>73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Xmas北信介ICONIC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2</v>
      </c>
      <c r="C633" s="1" t="s">
        <v>915</v>
      </c>
      <c r="D633" t="s">
        <v>189</v>
      </c>
      <c r="E633" s="1" t="s">
        <v>73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Xmas北信介ICONIC</v>
      </c>
    </row>
    <row r="634" spans="1:20" x14ac:dyDescent="0.35">
      <c r="A634">
        <f>VLOOKUP(Block[[#This Row],[No用]],SetNo[[No.用]:[vlookup 用]],2,FALSE)</f>
        <v>167</v>
      </c>
      <c r="B634">
        <f>IF(ROW()=2,1,IF(A633&lt;&gt;Block[[#This Row],[No]],1,B633+1))</f>
        <v>3</v>
      </c>
      <c r="C634" s="1" t="s">
        <v>915</v>
      </c>
      <c r="D634" t="s">
        <v>189</v>
      </c>
      <c r="E634" s="1" t="s">
        <v>73</v>
      </c>
      <c r="F634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Xmas北信介ICONIC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4</v>
      </c>
      <c r="C635" s="1" t="s">
        <v>915</v>
      </c>
      <c r="D635" t="s">
        <v>189</v>
      </c>
      <c r="E635" s="1" t="s">
        <v>73</v>
      </c>
      <c r="F635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Xmas北信介ICONIC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1</v>
      </c>
      <c r="C636" t="s">
        <v>108</v>
      </c>
      <c r="D636" s="1" t="s">
        <v>665</v>
      </c>
      <c r="E636" t="s">
        <v>77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ユニフォーム尾白アランICONIC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2</v>
      </c>
      <c r="C637" t="s">
        <v>108</v>
      </c>
      <c r="D637" s="1" t="s">
        <v>665</v>
      </c>
      <c r="E637" t="s">
        <v>77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ユニフォーム尾白アランICONIC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3</v>
      </c>
      <c r="C638" t="s">
        <v>108</v>
      </c>
      <c r="D638" s="1" t="s">
        <v>665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ユニフォーム尾白アランICONIC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4</v>
      </c>
      <c r="C639" t="s">
        <v>108</v>
      </c>
      <c r="D639" s="1" t="s">
        <v>665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ユニフォーム尾白アランICONIC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1</v>
      </c>
      <c r="C640" s="1" t="s">
        <v>959</v>
      </c>
      <c r="D640" s="1" t="s">
        <v>665</v>
      </c>
      <c r="E640" s="1" t="s">
        <v>979</v>
      </c>
      <c r="F640" s="1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雪遊び尾白アランICONIC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2</v>
      </c>
      <c r="C641" s="1" t="s">
        <v>959</v>
      </c>
      <c r="D641" s="1" t="s">
        <v>665</v>
      </c>
      <c r="E641" s="1" t="s">
        <v>979</v>
      </c>
      <c r="F641" s="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雪遊び尾白アランICONIC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3</v>
      </c>
      <c r="C642" s="1" t="s">
        <v>959</v>
      </c>
      <c r="D642" s="1" t="s">
        <v>665</v>
      </c>
      <c r="E642" s="1" t="s">
        <v>979</v>
      </c>
      <c r="F642" s="1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177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雪遊び尾白アランICONIC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4</v>
      </c>
      <c r="C643" s="1" t="s">
        <v>959</v>
      </c>
      <c r="D643" s="1" t="s">
        <v>665</v>
      </c>
      <c r="E643" s="1" t="s">
        <v>979</v>
      </c>
      <c r="F643" s="1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雪遊び尾白アランICONIC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108</v>
      </c>
      <c r="D644" s="1" t="s">
        <v>667</v>
      </c>
      <c r="E644" t="s">
        <v>77</v>
      </c>
      <c r="F644" s="1" t="s">
        <v>80</v>
      </c>
      <c r="G644" t="s">
        <v>185</v>
      </c>
      <c r="H644" t="s">
        <v>71</v>
      </c>
      <c r="I644">
        <v>1</v>
      </c>
      <c r="J644" t="s">
        <v>248</v>
      </c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ユニフォーム赤木路成ICONIC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1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2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3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41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4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179</v>
      </c>
      <c r="L648" s="1" t="s">
        <v>162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ユニフォーム大耳練ICONIC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5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ユニフォーム大耳練ICONIC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6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33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ユニフォーム大耳練ICONIC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7</v>
      </c>
      <c r="C651" t="s">
        <v>108</v>
      </c>
      <c r="D651" s="1" t="s">
        <v>669</v>
      </c>
      <c r="E651" t="s">
        <v>77</v>
      </c>
      <c r="F651" s="1" t="s">
        <v>82</v>
      </c>
      <c r="G651" t="s">
        <v>185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Block[[#This Row],[服装]]&amp;Block[[#This Row],[名前]]&amp;Block[[#This Row],[レアリティ]]</f>
        <v>ユニフォーム大耳練ICONIC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1</v>
      </c>
      <c r="C652" t="s">
        <v>108</v>
      </c>
      <c r="D652" s="1" t="s">
        <v>671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ユニフォーム理石平介ICONIC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2</v>
      </c>
      <c r="C653" t="s">
        <v>108</v>
      </c>
      <c r="D653" s="1" t="s">
        <v>671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ユニフォーム理石平介ICONIC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3</v>
      </c>
      <c r="C654" t="s">
        <v>108</v>
      </c>
      <c r="D654" s="1" t="s">
        <v>671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ユニフォーム理石平介ICONIC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4</v>
      </c>
      <c r="C655" t="s">
        <v>108</v>
      </c>
      <c r="D655" s="1" t="s">
        <v>671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ユニフォーム理石平介ICONIC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s="1" t="s">
        <v>108</v>
      </c>
      <c r="D656" s="1" t="s">
        <v>1178</v>
      </c>
      <c r="E656" s="1" t="s">
        <v>77</v>
      </c>
      <c r="F656" s="1" t="s">
        <v>78</v>
      </c>
      <c r="G656" s="1" t="s">
        <v>185</v>
      </c>
      <c r="H656" s="1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ユニフォーム銀島結ICONIC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s="1" t="s">
        <v>108</v>
      </c>
      <c r="D657" s="1" t="s">
        <v>1178</v>
      </c>
      <c r="E657" s="1" t="s">
        <v>77</v>
      </c>
      <c r="F657" s="1" t="s">
        <v>78</v>
      </c>
      <c r="G657" s="1" t="s">
        <v>185</v>
      </c>
      <c r="H657" s="1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ユニフォーム銀島結ICONIC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s="1" t="s">
        <v>108</v>
      </c>
      <c r="D658" s="1" t="s">
        <v>1178</v>
      </c>
      <c r="E658" s="1" t="s">
        <v>77</v>
      </c>
      <c r="F658" s="1" t="s">
        <v>78</v>
      </c>
      <c r="G658" s="1" t="s">
        <v>185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ユニフォーム銀島結ICONIC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122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ユニフォーム木兎光太郎ICONIC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t="s">
        <v>108</v>
      </c>
      <c r="D660" t="s">
        <v>122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t="s">
        <v>108</v>
      </c>
      <c r="D661" t="s">
        <v>122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ユニフォーム木兎光太郎ICONIC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t="s">
        <v>150</v>
      </c>
      <c r="D662" t="s">
        <v>122</v>
      </c>
      <c r="E662" t="s">
        <v>77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夏祭り木兎光太郎ICONIC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t="s">
        <v>150</v>
      </c>
      <c r="D663" t="s">
        <v>122</v>
      </c>
      <c r="E663" t="s">
        <v>77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t="s">
        <v>150</v>
      </c>
      <c r="D664" t="s">
        <v>122</v>
      </c>
      <c r="E664" t="s">
        <v>77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夏祭り木兎光太郎ICONIC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s="1" t="s">
        <v>915</v>
      </c>
      <c r="D665" t="s">
        <v>122</v>
      </c>
      <c r="E665" s="1" t="s">
        <v>73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Xmas木兎光太郎ICONIC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s="1" t="s">
        <v>915</v>
      </c>
      <c r="D666" t="s">
        <v>122</v>
      </c>
      <c r="E666" s="1" t="s">
        <v>73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Xmas木兎光太郎ICONIC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s="1" t="s">
        <v>915</v>
      </c>
      <c r="D667" t="s">
        <v>122</v>
      </c>
      <c r="E667" s="1" t="s">
        <v>73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Xmas木兎光太郎ICONIC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s="1" t="s">
        <v>149</v>
      </c>
      <c r="D668" t="s">
        <v>122</v>
      </c>
      <c r="E668" s="1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制服木兎光太郎ICONIC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s="1" t="s">
        <v>149</v>
      </c>
      <c r="D669" t="s">
        <v>122</v>
      </c>
      <c r="E669" s="1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制服木兎光太郎ICONIC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s="1" t="s">
        <v>149</v>
      </c>
      <c r="D670" t="s">
        <v>122</v>
      </c>
      <c r="E670" s="1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制服木兎光太郎ICONIC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174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ユニフォーム木葉秋紀ICONIC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t="s">
        <v>108</v>
      </c>
      <c r="D672" t="s">
        <v>123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ユニフォーム木葉秋紀ICONIC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3</v>
      </c>
      <c r="C673" t="s">
        <v>108</v>
      </c>
      <c r="D673" t="s">
        <v>123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177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ユニフォーム木葉秋紀ICONIC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4</v>
      </c>
      <c r="C674" t="s">
        <v>108</v>
      </c>
      <c r="D674" t="s">
        <v>123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ユニフォーム木葉秋紀ICONIC</v>
      </c>
    </row>
    <row r="675" spans="1:20" x14ac:dyDescent="0.35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15</v>
      </c>
      <c r="K675" s="1" t="s">
        <v>174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探偵木葉秋紀ICONIC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15</v>
      </c>
      <c r="K676" s="1" t="s">
        <v>175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探偵木葉秋紀ICONIC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386</v>
      </c>
      <c r="D677" t="s">
        <v>123</v>
      </c>
      <c r="E677" s="1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15</v>
      </c>
      <c r="K677" s="1" t="s">
        <v>177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探偵木葉秋紀ICONIC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4</v>
      </c>
      <c r="C678" s="1" t="s">
        <v>386</v>
      </c>
      <c r="D678" t="s">
        <v>123</v>
      </c>
      <c r="E678" s="1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15</v>
      </c>
      <c r="K678" s="1" t="s">
        <v>249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探偵木葉秋紀ICONIC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ユニフォーム猿杙大和ICONIC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2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ユニフォーム猿杙大和ICONIC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3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24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ユニフォーム猿杙大和ICONIC</v>
      </c>
    </row>
    <row r="682" spans="1:20" x14ac:dyDescent="0.35">
      <c r="A682">
        <f>VLOOKUP(Block[[#This Row],[No用]],SetNo[[No.用]:[vlookup 用]],2,FALSE)</f>
        <v>181</v>
      </c>
      <c r="B682">
        <f>IF(ROW()=2,1,IF(A681&lt;&gt;Block[[#This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248</v>
      </c>
      <c r="K682" s="1"/>
      <c r="L682" s="1"/>
      <c r="M682">
        <v>0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ユニフォーム小見春樹ICONIC</v>
      </c>
    </row>
    <row r="683" spans="1:20" x14ac:dyDescent="0.35">
      <c r="A683">
        <f>VLOOKUP(Block[[#This Row],[No用]],SetNo[[No.用]:[vlookup 用]],2,FALSE)</f>
        <v>182</v>
      </c>
      <c r="B683">
        <f>IF(ROW()=2,1,IF(A682&lt;&gt;Block[[#This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173</v>
      </c>
      <c r="M683">
        <v>35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ユニフォーム尾長渉ICONIC</v>
      </c>
    </row>
    <row r="684" spans="1:20" x14ac:dyDescent="0.35">
      <c r="A684">
        <f>VLOOKUP(Block[[#This Row],[No用]],SetNo[[No.用]:[vlookup 用]],2,FALSE)</f>
        <v>182</v>
      </c>
      <c r="B684">
        <f>IF(ROW()=2,1,IF(A683&lt;&gt;Block[[#This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173</v>
      </c>
      <c r="M684">
        <v>35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ユニフォーム尾長渉ICONIC</v>
      </c>
    </row>
    <row r="685" spans="1:20" x14ac:dyDescent="0.35">
      <c r="A685">
        <f>VLOOKUP(Block[[#This Row],[No用]],SetNo[[No.用]:[vlookup 用]],2,FALSE)</f>
        <v>182</v>
      </c>
      <c r="B685">
        <f>IF(ROW()=2,1,IF(A684&lt;&gt;Block[[#This Row],[No]],1,B684+1))</f>
        <v>3</v>
      </c>
      <c r="C685" t="s">
        <v>108</v>
      </c>
      <c r="D685" t="s">
        <v>126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176</v>
      </c>
      <c r="L685" s="1" t="s">
        <v>173</v>
      </c>
      <c r="M685">
        <v>38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ユニフォーム尾長渉ICONIC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4</v>
      </c>
      <c r="C686" t="s">
        <v>108</v>
      </c>
      <c r="D686" t="s">
        <v>126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234</v>
      </c>
      <c r="L686" s="1" t="s">
        <v>162</v>
      </c>
      <c r="M686">
        <v>32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ユニフォーム尾長渉ICONIC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5</v>
      </c>
      <c r="C687" t="s">
        <v>108</v>
      </c>
      <c r="D687" t="s">
        <v>126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177</v>
      </c>
      <c r="L687" s="1" t="s">
        <v>162</v>
      </c>
      <c r="M687">
        <v>32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ユニフォーム尾長渉ICONIC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6</v>
      </c>
      <c r="C688" t="s">
        <v>108</v>
      </c>
      <c r="D688" t="s">
        <v>126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30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ユニフォーム尾長渉ICONIC</v>
      </c>
    </row>
    <row r="689" spans="1:20" x14ac:dyDescent="0.35">
      <c r="A689">
        <f>VLOOKUP(Block[[#This Row],[No用]],SetNo[[No.用]:[vlookup 用]],2,FALSE)</f>
        <v>182</v>
      </c>
      <c r="B689">
        <f>IF(ROW()=2,1,IF(A688&lt;&gt;Block[[#This Row],[No]],1,B688+1))</f>
        <v>7</v>
      </c>
      <c r="C689" t="s">
        <v>108</v>
      </c>
      <c r="D689" t="s">
        <v>126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183</v>
      </c>
      <c r="L689" s="1" t="s">
        <v>225</v>
      </c>
      <c r="M689">
        <v>43</v>
      </c>
      <c r="N689">
        <v>0</v>
      </c>
      <c r="O689">
        <v>53</v>
      </c>
      <c r="P689">
        <v>0</v>
      </c>
      <c r="T689" t="str">
        <f>Block[[#This Row],[服装]]&amp;Block[[#This Row],[名前]]&amp;Block[[#This Row],[レアリティ]]</f>
        <v>ユニフォーム尾長渉ICONIC</v>
      </c>
    </row>
    <row r="690" spans="1:20" x14ac:dyDescent="0.35">
      <c r="A690">
        <f>VLOOKUP(Block[[#This Row],[No用]],SetNo[[No.用]:[vlookup 用]],2,FALSE)</f>
        <v>183</v>
      </c>
      <c r="B690">
        <f>IF(ROW()=2,1,IF(A689&lt;&gt;Block[[#This Row],[No]],1,B689+1))</f>
        <v>1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174</v>
      </c>
      <c r="L690" s="1" t="s">
        <v>173</v>
      </c>
      <c r="M690">
        <v>38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ユニフォーム鷲尾辰生ICONIC</v>
      </c>
    </row>
    <row r="691" spans="1:20" x14ac:dyDescent="0.35">
      <c r="A691">
        <f>VLOOKUP(Block[[#This Row],[No用]],SetNo[[No.用]:[vlookup 用]],2,FALSE)</f>
        <v>183</v>
      </c>
      <c r="B691">
        <f>IF(ROW()=2,1,IF(A690&lt;&gt;Block[[#This Row],[No]],1,B690+1))</f>
        <v>2</v>
      </c>
      <c r="C691" t="s">
        <v>108</v>
      </c>
      <c r="D691" t="s">
        <v>127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248</v>
      </c>
      <c r="K691" s="1" t="s">
        <v>175</v>
      </c>
      <c r="L691" s="1" t="s">
        <v>173</v>
      </c>
      <c r="M691">
        <v>38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ユニフォーム鷲尾辰生ICONIC</v>
      </c>
    </row>
    <row r="692" spans="1:20" x14ac:dyDescent="0.35">
      <c r="A692">
        <f>VLOOKUP(Block[[#This Row],[No用]],SetNo[[No.用]:[vlookup 用]],2,FALSE)</f>
        <v>183</v>
      </c>
      <c r="B692">
        <f>IF(ROW()=2,1,IF(A691&lt;&gt;Block[[#This Row],[No]],1,B691+1))</f>
        <v>3</v>
      </c>
      <c r="C692" t="s">
        <v>108</v>
      </c>
      <c r="D692" t="s">
        <v>127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248</v>
      </c>
      <c r="K692" s="1" t="s">
        <v>176</v>
      </c>
      <c r="L692" s="1" t="s">
        <v>173</v>
      </c>
      <c r="M692">
        <v>40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ユニフォーム鷲尾辰生ICONIC</v>
      </c>
    </row>
    <row r="693" spans="1:20" x14ac:dyDescent="0.35">
      <c r="A693">
        <f>VLOOKUP(Block[[#This Row],[No用]],SetNo[[No.用]:[vlookup 用]],2,FALSE)</f>
        <v>183</v>
      </c>
      <c r="B693">
        <f>IF(ROW()=2,1,IF(A692&lt;&gt;Block[[#This Row],[No]],1,B692+1))</f>
        <v>4</v>
      </c>
      <c r="C693" t="s">
        <v>108</v>
      </c>
      <c r="D693" t="s">
        <v>127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248</v>
      </c>
      <c r="K693" s="1" t="s">
        <v>179</v>
      </c>
      <c r="L693" s="1" t="s">
        <v>162</v>
      </c>
      <c r="M693">
        <v>35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ユニフォーム鷲尾辰生ICONIC</v>
      </c>
    </row>
    <row r="694" spans="1:20" x14ac:dyDescent="0.35">
      <c r="A694">
        <f>VLOOKUP(Block[[#This Row],[No用]],SetNo[[No.用]:[vlookup 用]],2,FALSE)</f>
        <v>183</v>
      </c>
      <c r="B694">
        <f>IF(ROW()=2,1,IF(A693&lt;&gt;Block[[#This Row],[No]],1,B693+1))</f>
        <v>5</v>
      </c>
      <c r="C694" t="s">
        <v>108</v>
      </c>
      <c r="D694" t="s">
        <v>127</v>
      </c>
      <c r="E694" t="s">
        <v>90</v>
      </c>
      <c r="F694" t="s">
        <v>82</v>
      </c>
      <c r="G694" t="s">
        <v>128</v>
      </c>
      <c r="H694" t="s">
        <v>71</v>
      </c>
      <c r="I694">
        <v>1</v>
      </c>
      <c r="J694" t="s">
        <v>248</v>
      </c>
      <c r="K694" s="1" t="s">
        <v>192</v>
      </c>
      <c r="L694" s="1" t="s">
        <v>162</v>
      </c>
      <c r="M694">
        <v>35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ユニフォーム鷲尾辰生ICONIC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6</v>
      </c>
      <c r="C695" t="s">
        <v>108</v>
      </c>
      <c r="D695" t="s">
        <v>127</v>
      </c>
      <c r="E695" t="s">
        <v>90</v>
      </c>
      <c r="F695" t="s">
        <v>82</v>
      </c>
      <c r="G695" t="s">
        <v>128</v>
      </c>
      <c r="H695" t="s">
        <v>71</v>
      </c>
      <c r="I695">
        <v>1</v>
      </c>
      <c r="J695" t="s">
        <v>248</v>
      </c>
      <c r="K695" s="1" t="s">
        <v>177</v>
      </c>
      <c r="L695" s="1" t="s">
        <v>162</v>
      </c>
      <c r="M695">
        <v>35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ユニフォーム鷲尾辰生ICONIC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7</v>
      </c>
      <c r="C696" t="s">
        <v>108</v>
      </c>
      <c r="D696" t="s">
        <v>127</v>
      </c>
      <c r="E696" t="s">
        <v>90</v>
      </c>
      <c r="F696" t="s">
        <v>82</v>
      </c>
      <c r="G696" t="s">
        <v>128</v>
      </c>
      <c r="H696" t="s">
        <v>71</v>
      </c>
      <c r="I696">
        <v>1</v>
      </c>
      <c r="J696" t="s">
        <v>248</v>
      </c>
      <c r="K696" s="1" t="s">
        <v>249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ユニフォーム鷲尾辰生ICONIC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8</v>
      </c>
      <c r="C697" t="s">
        <v>108</v>
      </c>
      <c r="D697" t="s">
        <v>127</v>
      </c>
      <c r="E697" t="s">
        <v>90</v>
      </c>
      <c r="F697" t="s">
        <v>82</v>
      </c>
      <c r="G697" t="s">
        <v>128</v>
      </c>
      <c r="H697" t="s">
        <v>71</v>
      </c>
      <c r="I697">
        <v>1</v>
      </c>
      <c r="J697" t="s">
        <v>248</v>
      </c>
      <c r="K697" s="1" t="s">
        <v>183</v>
      </c>
      <c r="L697" s="1" t="s">
        <v>225</v>
      </c>
      <c r="M697">
        <v>47</v>
      </c>
      <c r="N697">
        <v>0</v>
      </c>
      <c r="O697">
        <v>57</v>
      </c>
      <c r="P697">
        <v>0</v>
      </c>
      <c r="T697" t="str">
        <f>Block[[#This Row],[服装]]&amp;Block[[#This Row],[名前]]&amp;Block[[#This Row],[レアリティ]]</f>
        <v>ユニフォーム鷲尾辰生ICONIC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1</v>
      </c>
      <c r="C698" t="s">
        <v>108</v>
      </c>
      <c r="D698" t="s">
        <v>129</v>
      </c>
      <c r="E698" t="s">
        <v>73</v>
      </c>
      <c r="F698" t="s">
        <v>74</v>
      </c>
      <c r="G698" t="s">
        <v>128</v>
      </c>
      <c r="H698" t="s">
        <v>71</v>
      </c>
      <c r="I698">
        <v>1</v>
      </c>
      <c r="J698" t="s">
        <v>248</v>
      </c>
      <c r="K698" s="1" t="s">
        <v>174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ユニフォーム赤葦京治ICONIC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2</v>
      </c>
      <c r="C699" t="s">
        <v>108</v>
      </c>
      <c r="D699" t="s">
        <v>129</v>
      </c>
      <c r="E699" t="s">
        <v>73</v>
      </c>
      <c r="F699" t="s">
        <v>74</v>
      </c>
      <c r="G699" t="s">
        <v>128</v>
      </c>
      <c r="H699" t="s">
        <v>71</v>
      </c>
      <c r="I699">
        <v>1</v>
      </c>
      <c r="J699" t="s">
        <v>15</v>
      </c>
      <c r="K699" s="1" t="s">
        <v>175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ユニフォーム赤葦京治ICONIC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3</v>
      </c>
      <c r="C700" t="s">
        <v>108</v>
      </c>
      <c r="D700" t="s">
        <v>129</v>
      </c>
      <c r="E700" t="s">
        <v>73</v>
      </c>
      <c r="F700" t="s">
        <v>74</v>
      </c>
      <c r="G700" t="s">
        <v>128</v>
      </c>
      <c r="H700" t="s">
        <v>71</v>
      </c>
      <c r="I700">
        <v>1</v>
      </c>
      <c r="J700" t="s">
        <v>248</v>
      </c>
      <c r="K700" s="1" t="s">
        <v>249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ユニフォーム赤葦京治ICONIC</v>
      </c>
    </row>
    <row r="701" spans="1:20" x14ac:dyDescent="0.35">
      <c r="A701">
        <f>VLOOKUP(Block[[#This Row],[No用]],SetNo[[No.用]:[vlookup 用]],2,FALSE)</f>
        <v>185</v>
      </c>
      <c r="B701">
        <f>IF(ROW()=2,1,IF(A700&lt;&gt;Block[[#This Row],[No]],1,B700+1))</f>
        <v>1</v>
      </c>
      <c r="C701" t="s">
        <v>150</v>
      </c>
      <c r="D701" t="s">
        <v>129</v>
      </c>
      <c r="E701" t="s">
        <v>90</v>
      </c>
      <c r="F701" t="s">
        <v>74</v>
      </c>
      <c r="G701" t="s">
        <v>128</v>
      </c>
      <c r="H701" t="s">
        <v>71</v>
      </c>
      <c r="I701">
        <v>1</v>
      </c>
      <c r="J701" t="s">
        <v>15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夏祭り赤葦京治ICONIC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2</v>
      </c>
      <c r="C702" t="s">
        <v>150</v>
      </c>
      <c r="D702" t="s">
        <v>129</v>
      </c>
      <c r="E702" t="s">
        <v>90</v>
      </c>
      <c r="F702" t="s">
        <v>74</v>
      </c>
      <c r="G702" t="s">
        <v>128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夏祭り赤葦京治ICONIC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3</v>
      </c>
      <c r="C703" t="s">
        <v>150</v>
      </c>
      <c r="D703" t="s">
        <v>129</v>
      </c>
      <c r="E703" t="s">
        <v>90</v>
      </c>
      <c r="F703" t="s">
        <v>74</v>
      </c>
      <c r="G703" t="s">
        <v>128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夏祭り赤葦京治ICONIC</v>
      </c>
    </row>
    <row r="704" spans="1:20" x14ac:dyDescent="0.35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s="1" t="s">
        <v>149</v>
      </c>
      <c r="D704" s="1" t="s">
        <v>129</v>
      </c>
      <c r="E704" s="1" t="s">
        <v>77</v>
      </c>
      <c r="F704" s="1" t="s">
        <v>74</v>
      </c>
      <c r="G704" s="1" t="s">
        <v>128</v>
      </c>
      <c r="H704" s="1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制服赤葦京治ICONIC</v>
      </c>
    </row>
    <row r="705" spans="1:20" x14ac:dyDescent="0.35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s="1" t="s">
        <v>149</v>
      </c>
      <c r="D705" s="1" t="s">
        <v>129</v>
      </c>
      <c r="E705" s="1" t="s">
        <v>77</v>
      </c>
      <c r="F705" s="1" t="s">
        <v>74</v>
      </c>
      <c r="G705" s="1" t="s">
        <v>128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制服赤葦京治ICONIC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s="1" t="s">
        <v>149</v>
      </c>
      <c r="D706" s="1" t="s">
        <v>129</v>
      </c>
      <c r="E706" s="1" t="s">
        <v>77</v>
      </c>
      <c r="F706" s="1" t="s">
        <v>74</v>
      </c>
      <c r="G706" s="1" t="s">
        <v>128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制服赤葦京治ICONIC</v>
      </c>
    </row>
    <row r="707" spans="1:20" x14ac:dyDescent="0.35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s="1" t="s">
        <v>1165</v>
      </c>
      <c r="D707" s="1" t="s">
        <v>129</v>
      </c>
      <c r="E707" s="1" t="s">
        <v>73</v>
      </c>
      <c r="F707" s="1" t="s">
        <v>74</v>
      </c>
      <c r="G707" s="1" t="s">
        <v>128</v>
      </c>
      <c r="H707" s="1" t="s">
        <v>71</v>
      </c>
      <c r="I707">
        <v>1</v>
      </c>
      <c r="J707" t="s">
        <v>15</v>
      </c>
      <c r="K707" s="1" t="s">
        <v>174</v>
      </c>
      <c r="L707" s="1" t="s">
        <v>178</v>
      </c>
      <c r="M707">
        <v>31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バーガー赤葦京治ICONIC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2</v>
      </c>
      <c r="C708" s="1" t="s">
        <v>1165</v>
      </c>
      <c r="D708" s="1" t="s">
        <v>129</v>
      </c>
      <c r="E708" s="1" t="s">
        <v>73</v>
      </c>
      <c r="F708" s="1" t="s">
        <v>74</v>
      </c>
      <c r="G708" s="1" t="s">
        <v>128</v>
      </c>
      <c r="H708" s="1" t="s">
        <v>71</v>
      </c>
      <c r="I708">
        <v>1</v>
      </c>
      <c r="J708" t="s">
        <v>248</v>
      </c>
      <c r="K708" s="1" t="s">
        <v>175</v>
      </c>
      <c r="L708" s="1" t="s">
        <v>178</v>
      </c>
      <c r="M708">
        <v>31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バーガー赤葦京治ICONIC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3</v>
      </c>
      <c r="C709" s="1" t="s">
        <v>1165</v>
      </c>
      <c r="D709" s="1" t="s">
        <v>129</v>
      </c>
      <c r="E709" s="1" t="s">
        <v>73</v>
      </c>
      <c r="F709" s="1" t="s">
        <v>74</v>
      </c>
      <c r="G709" s="1" t="s">
        <v>128</v>
      </c>
      <c r="H709" s="1" t="s">
        <v>71</v>
      </c>
      <c r="I709">
        <v>1</v>
      </c>
      <c r="J709" t="s">
        <v>15</v>
      </c>
      <c r="K709" s="1" t="s">
        <v>249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バーガー赤葦京治ICONIC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4</v>
      </c>
      <c r="C710" s="1" t="s">
        <v>1165</v>
      </c>
      <c r="D710" s="1" t="s">
        <v>129</v>
      </c>
      <c r="E710" s="1" t="s">
        <v>73</v>
      </c>
      <c r="F710" s="1" t="s">
        <v>74</v>
      </c>
      <c r="G710" s="1" t="s">
        <v>128</v>
      </c>
      <c r="H710" s="1" t="s">
        <v>71</v>
      </c>
      <c r="I710">
        <v>1</v>
      </c>
      <c r="J710" t="s">
        <v>15</v>
      </c>
      <c r="K710" s="1" t="s">
        <v>183</v>
      </c>
      <c r="L710" s="1" t="s">
        <v>225</v>
      </c>
      <c r="M710">
        <v>50</v>
      </c>
      <c r="N710">
        <v>0</v>
      </c>
      <c r="O710">
        <v>60</v>
      </c>
      <c r="P710">
        <v>0</v>
      </c>
      <c r="T710" t="str">
        <f>Block[[#This Row],[服装]]&amp;Block[[#This Row],[名前]]&amp;Block[[#This Row],[レアリティ]]</f>
        <v>バーガー赤葦京治ICONIC</v>
      </c>
    </row>
    <row r="711" spans="1:20" x14ac:dyDescent="0.35">
      <c r="A711">
        <f>VLOOKUP(Block[[#This Row],[No用]],SetNo[[No.用]:[vlookup 用]],2,FALSE)</f>
        <v>188</v>
      </c>
      <c r="B711">
        <f>IF(ROW()=2,1,IF(A710&lt;&gt;Block[[#This Row],[No]],1,B710+1))</f>
        <v>1</v>
      </c>
      <c r="C711" s="1" t="s">
        <v>108</v>
      </c>
      <c r="D711" s="1" t="s">
        <v>1116</v>
      </c>
      <c r="E711" s="1" t="s">
        <v>90</v>
      </c>
      <c r="F711" s="1" t="s">
        <v>78</v>
      </c>
      <c r="G711" s="1" t="s">
        <v>1102</v>
      </c>
      <c r="H711" s="1" t="s">
        <v>690</v>
      </c>
      <c r="I711">
        <v>1</v>
      </c>
      <c r="J711" t="s">
        <v>15</v>
      </c>
      <c r="K711" s="1" t="s">
        <v>174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ユニフォーム姫川葵ICONIC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2</v>
      </c>
      <c r="C712" s="1" t="s">
        <v>108</v>
      </c>
      <c r="D712" s="1" t="s">
        <v>1116</v>
      </c>
      <c r="E712" s="1" t="s">
        <v>90</v>
      </c>
      <c r="F712" s="1" t="s">
        <v>78</v>
      </c>
      <c r="G712" s="1" t="s">
        <v>1102</v>
      </c>
      <c r="H712" s="1" t="s">
        <v>690</v>
      </c>
      <c r="I712">
        <v>1</v>
      </c>
      <c r="J712" t="s">
        <v>248</v>
      </c>
      <c r="K712" s="1" t="s">
        <v>175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ユニフォーム姫川葵ICONIC</v>
      </c>
    </row>
    <row r="713" spans="1:20" x14ac:dyDescent="0.35">
      <c r="A713">
        <f>VLOOKUP(Block[[#This Row],[No用]],SetNo[[No.用]:[vlookup 用]],2,FALSE)</f>
        <v>188</v>
      </c>
      <c r="B713">
        <f>IF(ROW()=2,1,IF(A712&lt;&gt;Block[[#This Row],[No]],1,B712+1))</f>
        <v>3</v>
      </c>
      <c r="C713" s="1" t="s">
        <v>108</v>
      </c>
      <c r="D713" s="1" t="s">
        <v>1116</v>
      </c>
      <c r="E713" s="1" t="s">
        <v>90</v>
      </c>
      <c r="F713" s="1" t="s">
        <v>78</v>
      </c>
      <c r="G713" s="1" t="s">
        <v>1102</v>
      </c>
      <c r="H713" s="1" t="s">
        <v>690</v>
      </c>
      <c r="I713">
        <v>1</v>
      </c>
      <c r="J713" t="s">
        <v>15</v>
      </c>
      <c r="K713" s="1" t="s">
        <v>177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ユニフォーム姫川葵ICONIC</v>
      </c>
    </row>
    <row r="714" spans="1:20" x14ac:dyDescent="0.35">
      <c r="A714">
        <f>VLOOKUP(Block[[#This Row],[No用]],SetNo[[No.用]:[vlookup 用]],2,FALSE)</f>
        <v>188</v>
      </c>
      <c r="B714">
        <f>IF(ROW()=2,1,IF(A713&lt;&gt;Block[[#This Row],[No]],1,B713+1))</f>
        <v>4</v>
      </c>
      <c r="C714" s="1" t="s">
        <v>108</v>
      </c>
      <c r="D714" s="1" t="s">
        <v>1116</v>
      </c>
      <c r="E714" s="1" t="s">
        <v>90</v>
      </c>
      <c r="F714" s="1" t="s">
        <v>78</v>
      </c>
      <c r="G714" s="1" t="s">
        <v>1102</v>
      </c>
      <c r="H714" s="1" t="s">
        <v>690</v>
      </c>
      <c r="I714">
        <v>1</v>
      </c>
      <c r="J714" t="s">
        <v>15</v>
      </c>
      <c r="K714" s="1" t="s">
        <v>249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ユニフォーム姫川葵ICONIC</v>
      </c>
    </row>
    <row r="715" spans="1:20" x14ac:dyDescent="0.35">
      <c r="A715">
        <f>VLOOKUP(Block[[#This Row],[No用]],SetNo[[No.用]:[vlookup 用]],2,FALSE)</f>
        <v>189</v>
      </c>
      <c r="B715">
        <f>IF(ROW()=2,1,IF(A714&lt;&gt;Block[[#This Row],[No]],1,B714+1))</f>
        <v>1</v>
      </c>
      <c r="C715" s="1" t="s">
        <v>108</v>
      </c>
      <c r="D715" s="1" t="s">
        <v>1130</v>
      </c>
      <c r="E715" s="1" t="s">
        <v>90</v>
      </c>
      <c r="F715" s="1" t="s">
        <v>82</v>
      </c>
      <c r="G715" s="1" t="s">
        <v>1102</v>
      </c>
      <c r="H715" s="1" t="s">
        <v>71</v>
      </c>
      <c r="I715">
        <v>1</v>
      </c>
      <c r="J715" t="s">
        <v>248</v>
      </c>
      <c r="K715" s="1" t="s">
        <v>174</v>
      </c>
      <c r="L715" s="1" t="s">
        <v>178</v>
      </c>
      <c r="M715">
        <v>30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ユニフォーム当間義友ICONIC</v>
      </c>
    </row>
    <row r="716" spans="1:20" x14ac:dyDescent="0.35">
      <c r="A716">
        <f>VLOOKUP(Block[[#This Row],[No用]],SetNo[[No.用]:[vlookup 用]],2,FALSE)</f>
        <v>189</v>
      </c>
      <c r="B716">
        <f>IF(ROW()=2,1,IF(A715&lt;&gt;Block[[#This Row],[No]],1,B715+1))</f>
        <v>2</v>
      </c>
      <c r="C716" s="1" t="s">
        <v>108</v>
      </c>
      <c r="D716" s="1" t="s">
        <v>1130</v>
      </c>
      <c r="E716" s="1" t="s">
        <v>90</v>
      </c>
      <c r="F716" s="1" t="s">
        <v>82</v>
      </c>
      <c r="G716" s="1" t="s">
        <v>1102</v>
      </c>
      <c r="H716" s="1" t="s">
        <v>71</v>
      </c>
      <c r="I716">
        <v>1</v>
      </c>
      <c r="J716" t="s">
        <v>15</v>
      </c>
      <c r="K716" s="1" t="s">
        <v>175</v>
      </c>
      <c r="L716" s="1" t="s">
        <v>173</v>
      </c>
      <c r="M716">
        <v>32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ユニフォーム当間義友ICONIC</v>
      </c>
    </row>
    <row r="717" spans="1:20" x14ac:dyDescent="0.35">
      <c r="A717">
        <f>VLOOKUP(Block[[#This Row],[No用]],SetNo[[No.用]:[vlookup 用]],2,FALSE)</f>
        <v>189</v>
      </c>
      <c r="B717">
        <f>IF(ROW()=2,1,IF(A716&lt;&gt;Block[[#This Row],[No]],1,B716+1))</f>
        <v>3</v>
      </c>
      <c r="C717" s="1" t="s">
        <v>108</v>
      </c>
      <c r="D717" s="1" t="s">
        <v>1130</v>
      </c>
      <c r="E717" s="1" t="s">
        <v>90</v>
      </c>
      <c r="F717" s="1" t="s">
        <v>82</v>
      </c>
      <c r="G717" s="1" t="s">
        <v>1102</v>
      </c>
      <c r="H717" s="1" t="s">
        <v>71</v>
      </c>
      <c r="I717">
        <v>1</v>
      </c>
      <c r="J717" t="s">
        <v>15</v>
      </c>
      <c r="K717" s="1" t="s">
        <v>176</v>
      </c>
      <c r="L717" s="1" t="s">
        <v>173</v>
      </c>
      <c r="M717">
        <v>35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ユニフォーム当間義友ICONIC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4</v>
      </c>
      <c r="C718" s="1" t="s">
        <v>108</v>
      </c>
      <c r="D718" s="1" t="s">
        <v>1130</v>
      </c>
      <c r="E718" s="1" t="s">
        <v>90</v>
      </c>
      <c r="F718" s="1" t="s">
        <v>82</v>
      </c>
      <c r="G718" s="1" t="s">
        <v>1102</v>
      </c>
      <c r="H718" s="1" t="s">
        <v>71</v>
      </c>
      <c r="I718">
        <v>1</v>
      </c>
      <c r="J718" t="s">
        <v>248</v>
      </c>
      <c r="K718" s="1" t="s">
        <v>234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ユニフォーム当間義友ICONIC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5</v>
      </c>
      <c r="C719" s="1" t="s">
        <v>108</v>
      </c>
      <c r="D719" s="1" t="s">
        <v>1130</v>
      </c>
      <c r="E719" s="1" t="s">
        <v>90</v>
      </c>
      <c r="F719" s="1" t="s">
        <v>82</v>
      </c>
      <c r="G719" s="1" t="s">
        <v>1102</v>
      </c>
      <c r="H719" s="1" t="s">
        <v>71</v>
      </c>
      <c r="I719">
        <v>1</v>
      </c>
      <c r="J719" t="s">
        <v>15</v>
      </c>
      <c r="K719" s="1" t="s">
        <v>177</v>
      </c>
      <c r="L719" s="1" t="s">
        <v>162</v>
      </c>
      <c r="M719">
        <v>32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ユニフォーム当間義友ICONIC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6</v>
      </c>
      <c r="C720" s="1" t="s">
        <v>108</v>
      </c>
      <c r="D720" s="1" t="s">
        <v>1130</v>
      </c>
      <c r="E720" s="1" t="s">
        <v>90</v>
      </c>
      <c r="F720" s="1" t="s">
        <v>82</v>
      </c>
      <c r="G720" s="1" t="s">
        <v>1102</v>
      </c>
      <c r="H720" s="1" t="s">
        <v>71</v>
      </c>
      <c r="I720">
        <v>1</v>
      </c>
      <c r="J720" t="s">
        <v>15</v>
      </c>
      <c r="K720" s="1" t="s">
        <v>249</v>
      </c>
      <c r="L720" s="1" t="s">
        <v>178</v>
      </c>
      <c r="M720">
        <v>33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ユニフォーム当間義友ICONIC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7</v>
      </c>
      <c r="C721" s="1" t="s">
        <v>108</v>
      </c>
      <c r="D721" s="1" t="s">
        <v>1130</v>
      </c>
      <c r="E721" s="1" t="s">
        <v>90</v>
      </c>
      <c r="F721" s="1" t="s">
        <v>82</v>
      </c>
      <c r="G721" s="1" t="s">
        <v>1102</v>
      </c>
      <c r="H721" s="1" t="s">
        <v>71</v>
      </c>
      <c r="I721">
        <v>1</v>
      </c>
      <c r="J721" t="s">
        <v>248</v>
      </c>
      <c r="K721" s="1" t="s">
        <v>183</v>
      </c>
      <c r="L721" s="1" t="s">
        <v>225</v>
      </c>
      <c r="M721">
        <v>44</v>
      </c>
      <c r="N721">
        <v>0</v>
      </c>
      <c r="O721">
        <v>54</v>
      </c>
      <c r="P721">
        <v>0</v>
      </c>
      <c r="T721" t="str">
        <f>Block[[#This Row],[服装]]&amp;Block[[#This Row],[名前]]&amp;Block[[#This Row],[レアリティ]]</f>
        <v>ユニフォーム当間義友ICONIC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1</v>
      </c>
      <c r="C722" s="1" t="s">
        <v>108</v>
      </c>
      <c r="D722" s="1" t="s">
        <v>1100</v>
      </c>
      <c r="E722" s="1" t="s">
        <v>90</v>
      </c>
      <c r="F722" s="1" t="s">
        <v>74</v>
      </c>
      <c r="G722" s="1" t="s">
        <v>1102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ユニフォーム越後栄ICONIC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2</v>
      </c>
      <c r="C723" s="1" t="s">
        <v>108</v>
      </c>
      <c r="D723" s="1" t="s">
        <v>1100</v>
      </c>
      <c r="E723" s="1" t="s">
        <v>90</v>
      </c>
      <c r="F723" s="1" t="s">
        <v>74</v>
      </c>
      <c r="G723" s="1" t="s">
        <v>1102</v>
      </c>
      <c r="H723" s="1" t="s">
        <v>71</v>
      </c>
      <c r="I723">
        <v>1</v>
      </c>
      <c r="J723" t="s">
        <v>15</v>
      </c>
      <c r="K723" s="1" t="s">
        <v>175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ユニフォーム越後栄ICONIC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3</v>
      </c>
      <c r="C724" s="1" t="s">
        <v>108</v>
      </c>
      <c r="D724" s="1" t="s">
        <v>1100</v>
      </c>
      <c r="E724" s="1" t="s">
        <v>90</v>
      </c>
      <c r="F724" s="1" t="s">
        <v>74</v>
      </c>
      <c r="G724" s="1" t="s">
        <v>1102</v>
      </c>
      <c r="H724" s="1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24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ユニフォーム越後栄ICONIC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1</v>
      </c>
      <c r="C725" s="1" t="s">
        <v>108</v>
      </c>
      <c r="D725" s="1" t="s">
        <v>1136</v>
      </c>
      <c r="E725" s="1" t="s">
        <v>90</v>
      </c>
      <c r="F725" s="1" t="s">
        <v>80</v>
      </c>
      <c r="G725" s="1" t="s">
        <v>1102</v>
      </c>
      <c r="H725" s="1" t="s">
        <v>71</v>
      </c>
      <c r="I725">
        <v>1</v>
      </c>
      <c r="J725" t="s">
        <v>15</v>
      </c>
      <c r="K725" s="1"/>
      <c r="L725" s="1"/>
      <c r="M725">
        <v>0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ユニフォーム貝掛亮文ICONIC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s="1" t="s">
        <v>108</v>
      </c>
      <c r="D726" s="1" t="s">
        <v>1147</v>
      </c>
      <c r="E726" s="1" t="s">
        <v>73</v>
      </c>
      <c r="F726" s="1" t="s">
        <v>78</v>
      </c>
      <c r="G726" s="1" t="s">
        <v>1102</v>
      </c>
      <c r="H726" s="1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ユニフォーム丸山一喜ICONIC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2</v>
      </c>
      <c r="C727" s="1" t="s">
        <v>108</v>
      </c>
      <c r="D727" s="1" t="s">
        <v>1147</v>
      </c>
      <c r="E727" s="1" t="s">
        <v>73</v>
      </c>
      <c r="F727" s="1" t="s">
        <v>78</v>
      </c>
      <c r="G727" s="1" t="s">
        <v>1102</v>
      </c>
      <c r="H727" s="1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ユニフォーム丸山一喜ICONIC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3</v>
      </c>
      <c r="C728" s="1" t="s">
        <v>108</v>
      </c>
      <c r="D728" s="1" t="s">
        <v>1147</v>
      </c>
      <c r="E728" s="1" t="s">
        <v>73</v>
      </c>
      <c r="F728" s="1" t="s">
        <v>78</v>
      </c>
      <c r="G728" s="1" t="s">
        <v>1102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ユニフォーム丸山一喜ICONIC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1</v>
      </c>
      <c r="C729" s="1" t="s">
        <v>108</v>
      </c>
      <c r="D729" s="1" t="s">
        <v>1152</v>
      </c>
      <c r="E729" s="1" t="s">
        <v>90</v>
      </c>
      <c r="F729" s="1" t="s">
        <v>78</v>
      </c>
      <c r="G729" s="1" t="s">
        <v>1102</v>
      </c>
      <c r="H729" s="1" t="s">
        <v>71</v>
      </c>
      <c r="I729">
        <v>1</v>
      </c>
      <c r="J729" t="s">
        <v>15</v>
      </c>
      <c r="K729" s="1" t="s">
        <v>174</v>
      </c>
      <c r="L729" s="1" t="s">
        <v>162</v>
      </c>
      <c r="M729">
        <v>24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ユニフォーム舞子侑志ICONIC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2</v>
      </c>
      <c r="C730" s="1" t="s">
        <v>108</v>
      </c>
      <c r="D730" s="1" t="s">
        <v>1152</v>
      </c>
      <c r="E730" s="1" t="s">
        <v>90</v>
      </c>
      <c r="F730" s="1" t="s">
        <v>78</v>
      </c>
      <c r="G730" s="1" t="s">
        <v>1102</v>
      </c>
      <c r="H730" s="1" t="s">
        <v>71</v>
      </c>
      <c r="I730">
        <v>1</v>
      </c>
      <c r="J730" t="s">
        <v>248</v>
      </c>
      <c r="K730" s="1" t="s">
        <v>175</v>
      </c>
      <c r="L730" s="1" t="s">
        <v>173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ユニフォーム舞子侑志ICONIC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3</v>
      </c>
      <c r="C731" s="1" t="s">
        <v>108</v>
      </c>
      <c r="D731" s="1" t="s">
        <v>1152</v>
      </c>
      <c r="E731" s="1" t="s">
        <v>90</v>
      </c>
      <c r="F731" s="1" t="s">
        <v>78</v>
      </c>
      <c r="G731" s="1" t="s">
        <v>1102</v>
      </c>
      <c r="H731" s="1" t="s">
        <v>71</v>
      </c>
      <c r="I731">
        <v>1</v>
      </c>
      <c r="J731" t="s">
        <v>15</v>
      </c>
      <c r="K731" s="1" t="s">
        <v>177</v>
      </c>
      <c r="L731" s="1" t="s">
        <v>162</v>
      </c>
      <c r="M731">
        <v>24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ユニフォーム舞子侑志ICONIC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4</v>
      </c>
      <c r="C732" s="1" t="s">
        <v>108</v>
      </c>
      <c r="D732" s="1" t="s">
        <v>1152</v>
      </c>
      <c r="E732" s="1" t="s">
        <v>90</v>
      </c>
      <c r="F732" s="1" t="s">
        <v>78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24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ユニフォーム舞子侑志ICONIC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1</v>
      </c>
      <c r="C733" s="1" t="s">
        <v>108</v>
      </c>
      <c r="D733" s="1" t="s">
        <v>1110</v>
      </c>
      <c r="E733" s="1" t="s">
        <v>90</v>
      </c>
      <c r="F733" s="1" t="s">
        <v>78</v>
      </c>
      <c r="G733" s="1" t="s">
        <v>1102</v>
      </c>
      <c r="H733" s="1" t="s">
        <v>71</v>
      </c>
      <c r="I733">
        <v>1</v>
      </c>
      <c r="J733" t="s">
        <v>248</v>
      </c>
      <c r="K733" s="1" t="s">
        <v>174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ユニフォーム寺泊基希ICONIC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2</v>
      </c>
      <c r="C734" s="1" t="s">
        <v>108</v>
      </c>
      <c r="D734" s="1" t="s">
        <v>1110</v>
      </c>
      <c r="E734" s="1" t="s">
        <v>90</v>
      </c>
      <c r="F734" s="1" t="s">
        <v>78</v>
      </c>
      <c r="G734" s="1" t="s">
        <v>1102</v>
      </c>
      <c r="H734" s="1" t="s">
        <v>71</v>
      </c>
      <c r="I734">
        <v>1</v>
      </c>
      <c r="J734" t="s">
        <v>15</v>
      </c>
      <c r="K734" s="1" t="s">
        <v>175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ユニフォーム寺泊基希ICONIC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3</v>
      </c>
      <c r="C735" s="1" t="s">
        <v>108</v>
      </c>
      <c r="D735" s="1" t="s">
        <v>1110</v>
      </c>
      <c r="E735" s="1" t="s">
        <v>90</v>
      </c>
      <c r="F735" s="1" t="s">
        <v>78</v>
      </c>
      <c r="G735" s="1" t="s">
        <v>1102</v>
      </c>
      <c r="H735" s="1" t="s">
        <v>71</v>
      </c>
      <c r="I735">
        <v>1</v>
      </c>
      <c r="J735" t="s">
        <v>248</v>
      </c>
      <c r="K735" s="1" t="s">
        <v>177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ユニフォーム寺泊基希ICONIC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4</v>
      </c>
      <c r="C736" s="1" t="s">
        <v>108</v>
      </c>
      <c r="D736" s="1" t="s">
        <v>1110</v>
      </c>
      <c r="E736" s="1" t="s">
        <v>90</v>
      </c>
      <c r="F736" s="1" t="s">
        <v>78</v>
      </c>
      <c r="G736" s="1" t="s">
        <v>1102</v>
      </c>
      <c r="H736" s="1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ユニフォーム寺泊基希ICONIC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1</v>
      </c>
      <c r="C737" t="s">
        <v>206</v>
      </c>
      <c r="D737" t="s">
        <v>649</v>
      </c>
      <c r="E737" t="s">
        <v>28</v>
      </c>
      <c r="F737" t="s">
        <v>25</v>
      </c>
      <c r="G737" t="s">
        <v>155</v>
      </c>
      <c r="H737" t="s">
        <v>71</v>
      </c>
      <c r="I737">
        <v>1</v>
      </c>
      <c r="J737" t="s">
        <v>248</v>
      </c>
      <c r="K737" s="1" t="s">
        <v>174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ユニフォーム星海光来ICONIC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2</v>
      </c>
      <c r="C738" t="s">
        <v>206</v>
      </c>
      <c r="D738" t="s">
        <v>649</v>
      </c>
      <c r="E738" t="s">
        <v>28</v>
      </c>
      <c r="F738" t="s">
        <v>25</v>
      </c>
      <c r="G738" t="s">
        <v>155</v>
      </c>
      <c r="H738" t="s">
        <v>71</v>
      </c>
      <c r="I738">
        <v>1</v>
      </c>
      <c r="J738" t="s">
        <v>15</v>
      </c>
      <c r="K738" s="1" t="s">
        <v>175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ユニフォーム星海光来ICONIC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3</v>
      </c>
      <c r="C739" t="s">
        <v>206</v>
      </c>
      <c r="D739" t="s">
        <v>649</v>
      </c>
      <c r="E739" t="s">
        <v>28</v>
      </c>
      <c r="F739" t="s">
        <v>25</v>
      </c>
      <c r="G739" t="s">
        <v>155</v>
      </c>
      <c r="H739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ユニフォーム星海光来ICONIC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1</v>
      </c>
      <c r="C740" s="1" t="s">
        <v>895</v>
      </c>
      <c r="D740" t="s">
        <v>283</v>
      </c>
      <c r="E740" s="1" t="s">
        <v>73</v>
      </c>
      <c r="F740" t="s">
        <v>78</v>
      </c>
      <c r="G740" t="s">
        <v>134</v>
      </c>
      <c r="H740" t="s">
        <v>71</v>
      </c>
      <c r="I740">
        <v>1</v>
      </c>
      <c r="J740" t="s">
        <v>15</v>
      </c>
      <c r="K740" s="1" t="s">
        <v>174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文化祭星海光来ICONIC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2</v>
      </c>
      <c r="C741" s="1" t="s">
        <v>895</v>
      </c>
      <c r="D741" t="s">
        <v>283</v>
      </c>
      <c r="E741" s="1" t="s">
        <v>73</v>
      </c>
      <c r="F741" t="s">
        <v>78</v>
      </c>
      <c r="G741" t="s">
        <v>134</v>
      </c>
      <c r="H741" t="s">
        <v>71</v>
      </c>
      <c r="I741">
        <v>1</v>
      </c>
      <c r="J741" t="s">
        <v>248</v>
      </c>
      <c r="K741" s="1" t="s">
        <v>175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文化祭星海光来ICONIC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3</v>
      </c>
      <c r="C742" s="1" t="s">
        <v>895</v>
      </c>
      <c r="D742" t="s">
        <v>283</v>
      </c>
      <c r="E742" s="1" t="s">
        <v>73</v>
      </c>
      <c r="F742" t="s">
        <v>78</v>
      </c>
      <c r="G742" t="s">
        <v>134</v>
      </c>
      <c r="H742" t="s">
        <v>71</v>
      </c>
      <c r="I742">
        <v>1</v>
      </c>
      <c r="J742" t="s">
        <v>15</v>
      </c>
      <c r="K742" s="1" t="s">
        <v>249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文化祭星海光来ICONIC</v>
      </c>
    </row>
    <row r="743" spans="1:20" x14ac:dyDescent="0.35">
      <c r="A743">
        <f>VLOOKUP(Block[[#This Row],[No用]],SetNo[[No.用]:[vlookup 用]],2,FALSE)</f>
        <v>197</v>
      </c>
      <c r="B743">
        <f>IF(ROW()=2,1,IF(A742&lt;&gt;Block[[#This Row],[No]],1,B742+1))</f>
        <v>1</v>
      </c>
      <c r="C743" s="1" t="s">
        <v>1049</v>
      </c>
      <c r="D743" s="1" t="s">
        <v>283</v>
      </c>
      <c r="E743" s="1" t="s">
        <v>90</v>
      </c>
      <c r="F743" s="1" t="s">
        <v>78</v>
      </c>
      <c r="G743" s="1" t="s">
        <v>134</v>
      </c>
      <c r="H743" t="s">
        <v>71</v>
      </c>
      <c r="I743">
        <v>1</v>
      </c>
      <c r="J743" t="s">
        <v>15</v>
      </c>
      <c r="K743" s="1" t="s">
        <v>174</v>
      </c>
      <c r="L743" s="1" t="s">
        <v>173</v>
      </c>
      <c r="M743">
        <v>33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サバゲ星海光来ICONIC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2</v>
      </c>
      <c r="C744" s="1" t="s">
        <v>1049</v>
      </c>
      <c r="D744" s="1" t="s">
        <v>283</v>
      </c>
      <c r="E744" s="1" t="s">
        <v>90</v>
      </c>
      <c r="F744" s="1" t="s">
        <v>78</v>
      </c>
      <c r="G744" s="1" t="s">
        <v>134</v>
      </c>
      <c r="H744" t="s">
        <v>71</v>
      </c>
      <c r="I744">
        <v>1</v>
      </c>
      <c r="J744" t="s">
        <v>248</v>
      </c>
      <c r="K744" s="1" t="s">
        <v>175</v>
      </c>
      <c r="L744" s="1" t="s">
        <v>173</v>
      </c>
      <c r="M744">
        <v>33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サバゲ星海光来ICONIC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3</v>
      </c>
      <c r="C745" s="1" t="s">
        <v>1049</v>
      </c>
      <c r="D745" s="1" t="s">
        <v>283</v>
      </c>
      <c r="E745" s="1" t="s">
        <v>90</v>
      </c>
      <c r="F745" s="1" t="s">
        <v>78</v>
      </c>
      <c r="G745" s="1" t="s">
        <v>134</v>
      </c>
      <c r="H745" t="s">
        <v>71</v>
      </c>
      <c r="I745">
        <v>1</v>
      </c>
      <c r="J745" t="s">
        <v>15</v>
      </c>
      <c r="K745" s="1" t="s">
        <v>249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サバゲ星海光来ICONIC</v>
      </c>
    </row>
    <row r="746" spans="1:20" x14ac:dyDescent="0.35">
      <c r="A746">
        <f>VLOOKUP(Block[[#This Row],[No用]],SetNo[[No.用]:[vlookup 用]],2,FALSE)</f>
        <v>198</v>
      </c>
      <c r="B746">
        <f>IF(ROW()=2,1,IF(A745&lt;&gt;Block[[#This Row],[No]],1,B745+1))</f>
        <v>1</v>
      </c>
      <c r="C746" t="s">
        <v>206</v>
      </c>
      <c r="D746" t="s">
        <v>658</v>
      </c>
      <c r="E746" t="s">
        <v>28</v>
      </c>
      <c r="F746" t="s">
        <v>26</v>
      </c>
      <c r="G746" t="s">
        <v>155</v>
      </c>
      <c r="H746" t="s">
        <v>71</v>
      </c>
      <c r="I746">
        <v>1</v>
      </c>
      <c r="J746" t="s">
        <v>15</v>
      </c>
      <c r="K746" s="1" t="s">
        <v>174</v>
      </c>
      <c r="L746" s="1" t="s">
        <v>173</v>
      </c>
      <c r="M746">
        <v>40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ユニフォーム昼神幸郎ICONIC</v>
      </c>
    </row>
    <row r="747" spans="1:20" x14ac:dyDescent="0.35">
      <c r="A747">
        <f>VLOOKUP(Block[[#This Row],[No用]],SetNo[[No.用]:[vlookup 用]],2,FALSE)</f>
        <v>198</v>
      </c>
      <c r="B747">
        <f>IF(ROW()=2,1,IF(A746&lt;&gt;Block[[#This Row],[No]],1,B746+1))</f>
        <v>2</v>
      </c>
      <c r="C747" t="s">
        <v>206</v>
      </c>
      <c r="D747" t="s">
        <v>658</v>
      </c>
      <c r="E747" t="s">
        <v>28</v>
      </c>
      <c r="F747" t="s">
        <v>26</v>
      </c>
      <c r="G747" t="s">
        <v>155</v>
      </c>
      <c r="H747" t="s">
        <v>71</v>
      </c>
      <c r="I747">
        <v>1</v>
      </c>
      <c r="J747" t="s">
        <v>248</v>
      </c>
      <c r="K747" s="1" t="s">
        <v>175</v>
      </c>
      <c r="L747" s="1" t="s">
        <v>173</v>
      </c>
      <c r="M747">
        <v>44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ユニフォーム昼神幸郎ICONIC</v>
      </c>
    </row>
    <row r="748" spans="1:20" x14ac:dyDescent="0.35">
      <c r="A748">
        <f>VLOOKUP(Block[[#This Row],[No用]],SetNo[[No.用]:[vlookup 用]],2,FALSE)</f>
        <v>198</v>
      </c>
      <c r="B748">
        <f>IF(ROW()=2,1,IF(A747&lt;&gt;Block[[#This Row],[No]],1,B747+1))</f>
        <v>3</v>
      </c>
      <c r="C748" t="s">
        <v>206</v>
      </c>
      <c r="D748" t="s">
        <v>658</v>
      </c>
      <c r="E748" t="s">
        <v>28</v>
      </c>
      <c r="F748" t="s">
        <v>26</v>
      </c>
      <c r="G748" t="s">
        <v>155</v>
      </c>
      <c r="H748" t="s">
        <v>71</v>
      </c>
      <c r="I748">
        <v>1</v>
      </c>
      <c r="J748" t="s">
        <v>15</v>
      </c>
      <c r="K748" s="1" t="s">
        <v>179</v>
      </c>
      <c r="L748" s="1" t="s">
        <v>173</v>
      </c>
      <c r="M748">
        <v>43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ユニフォーム昼神幸郎ICONIC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4</v>
      </c>
      <c r="C749" t="s">
        <v>206</v>
      </c>
      <c r="D749" t="s">
        <v>658</v>
      </c>
      <c r="E749" t="s">
        <v>28</v>
      </c>
      <c r="F749" t="s">
        <v>26</v>
      </c>
      <c r="G749" t="s">
        <v>155</v>
      </c>
      <c r="H749" t="s">
        <v>71</v>
      </c>
      <c r="I749">
        <v>1</v>
      </c>
      <c r="J749" t="s">
        <v>248</v>
      </c>
      <c r="K749" s="1" t="s">
        <v>177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ユニフォーム昼神幸郎ICONIC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5</v>
      </c>
      <c r="C750" t="s">
        <v>206</v>
      </c>
      <c r="D750" t="s">
        <v>658</v>
      </c>
      <c r="E750" t="s">
        <v>28</v>
      </c>
      <c r="F750" t="s">
        <v>26</v>
      </c>
      <c r="G750" t="s">
        <v>155</v>
      </c>
      <c r="H750" t="s">
        <v>71</v>
      </c>
      <c r="I750">
        <v>1</v>
      </c>
      <c r="J750" t="s">
        <v>15</v>
      </c>
      <c r="K750" s="1" t="s">
        <v>249</v>
      </c>
      <c r="L750" s="1" t="s">
        <v>178</v>
      </c>
      <c r="M750">
        <v>36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ユニフォーム昼神幸郎ICONIC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6</v>
      </c>
      <c r="C751" t="s">
        <v>206</v>
      </c>
      <c r="D751" t="s">
        <v>658</v>
      </c>
      <c r="E751" t="s">
        <v>28</v>
      </c>
      <c r="F751" t="s">
        <v>26</v>
      </c>
      <c r="G751" t="s">
        <v>155</v>
      </c>
      <c r="H751" t="s">
        <v>71</v>
      </c>
      <c r="I751">
        <v>1</v>
      </c>
      <c r="J751" t="s">
        <v>248</v>
      </c>
      <c r="K751" s="1" t="s">
        <v>183</v>
      </c>
      <c r="L751" s="1" t="s">
        <v>225</v>
      </c>
      <c r="M751">
        <v>51</v>
      </c>
      <c r="N751">
        <v>0</v>
      </c>
      <c r="O751">
        <v>61</v>
      </c>
      <c r="P751">
        <v>0</v>
      </c>
      <c r="T751" t="str">
        <f>Block[[#This Row],[服装]]&amp;Block[[#This Row],[名前]]&amp;Block[[#This Row],[レアリティ]]</f>
        <v>ユニフォーム昼神幸郎ICONIC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1</v>
      </c>
      <c r="C752" s="1" t="s">
        <v>915</v>
      </c>
      <c r="D752" t="s">
        <v>133</v>
      </c>
      <c r="E752" s="1" t="s">
        <v>73</v>
      </c>
      <c r="F752" t="s">
        <v>82</v>
      </c>
      <c r="G752" t="s">
        <v>134</v>
      </c>
      <c r="H752" t="s">
        <v>71</v>
      </c>
      <c r="I752">
        <v>1</v>
      </c>
      <c r="J752" t="s">
        <v>15</v>
      </c>
      <c r="K752" s="1" t="s">
        <v>174</v>
      </c>
      <c r="L752" s="1" t="s">
        <v>173</v>
      </c>
      <c r="M752">
        <v>40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Xmas昼神幸郎ICONIC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2</v>
      </c>
      <c r="C753" s="1" t="s">
        <v>915</v>
      </c>
      <c r="D753" t="s">
        <v>133</v>
      </c>
      <c r="E753" s="1" t="s">
        <v>73</v>
      </c>
      <c r="F753" t="s">
        <v>82</v>
      </c>
      <c r="G753" t="s">
        <v>134</v>
      </c>
      <c r="H753" t="s">
        <v>71</v>
      </c>
      <c r="I753">
        <v>1</v>
      </c>
      <c r="J753" t="s">
        <v>248</v>
      </c>
      <c r="K753" s="1" t="s">
        <v>175</v>
      </c>
      <c r="L753" s="1" t="s">
        <v>173</v>
      </c>
      <c r="M753">
        <v>44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Xmas昼神幸郎ICONIC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3</v>
      </c>
      <c r="C754" s="1" t="s">
        <v>915</v>
      </c>
      <c r="D754" t="s">
        <v>133</v>
      </c>
      <c r="E754" s="1" t="s">
        <v>73</v>
      </c>
      <c r="F754" t="s">
        <v>82</v>
      </c>
      <c r="G754" t="s">
        <v>134</v>
      </c>
      <c r="H754" t="s">
        <v>71</v>
      </c>
      <c r="I754">
        <v>1</v>
      </c>
      <c r="J754" t="s">
        <v>15</v>
      </c>
      <c r="K754" s="1" t="s">
        <v>179</v>
      </c>
      <c r="L754" s="1" t="s">
        <v>173</v>
      </c>
      <c r="M754">
        <v>43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Xmas昼神幸郎ICONIC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4</v>
      </c>
      <c r="C755" s="1" t="s">
        <v>915</v>
      </c>
      <c r="D755" t="s">
        <v>133</v>
      </c>
      <c r="E755" s="1" t="s">
        <v>73</v>
      </c>
      <c r="F755" t="s">
        <v>82</v>
      </c>
      <c r="G755" t="s">
        <v>134</v>
      </c>
      <c r="H755" t="s">
        <v>71</v>
      </c>
      <c r="I755">
        <v>1</v>
      </c>
      <c r="J755" t="s">
        <v>248</v>
      </c>
      <c r="K755" s="1" t="s">
        <v>177</v>
      </c>
      <c r="L755" s="1" t="s">
        <v>162</v>
      </c>
      <c r="M755">
        <v>34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Xmas昼神幸郎ICONIC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5</v>
      </c>
      <c r="C756" s="1" t="s">
        <v>915</v>
      </c>
      <c r="D756" t="s">
        <v>133</v>
      </c>
      <c r="E756" s="1" t="s">
        <v>73</v>
      </c>
      <c r="F756" t="s">
        <v>82</v>
      </c>
      <c r="G756" t="s">
        <v>134</v>
      </c>
      <c r="H756" t="s">
        <v>71</v>
      </c>
      <c r="I756">
        <v>1</v>
      </c>
      <c r="J756" t="s">
        <v>15</v>
      </c>
      <c r="K756" s="1" t="s">
        <v>249</v>
      </c>
      <c r="L756" s="1" t="s">
        <v>178</v>
      </c>
      <c r="M756">
        <v>36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Xmas昼神幸郎ICONIC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6</v>
      </c>
      <c r="C757" s="1" t="s">
        <v>915</v>
      </c>
      <c r="D757" t="s">
        <v>133</v>
      </c>
      <c r="E757" s="1" t="s">
        <v>73</v>
      </c>
      <c r="F757" t="s">
        <v>82</v>
      </c>
      <c r="G757" t="s">
        <v>134</v>
      </c>
      <c r="H757" t="s">
        <v>71</v>
      </c>
      <c r="I757">
        <v>1</v>
      </c>
      <c r="J757" t="s">
        <v>248</v>
      </c>
      <c r="K757" s="1" t="s">
        <v>183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Block[[#This Row],[服装]]&amp;Block[[#This Row],[名前]]&amp;Block[[#This Row],[レアリティ]]</f>
        <v>Xmas昼神幸郎ICONIC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1</v>
      </c>
      <c r="C758" t="s">
        <v>206</v>
      </c>
      <c r="D758" t="s">
        <v>652</v>
      </c>
      <c r="E758" t="s">
        <v>28</v>
      </c>
      <c r="F758" t="s">
        <v>25</v>
      </c>
      <c r="G758" t="s">
        <v>158</v>
      </c>
      <c r="H758" t="s">
        <v>71</v>
      </c>
      <c r="I758">
        <v>1</v>
      </c>
      <c r="J758" t="s">
        <v>15</v>
      </c>
      <c r="K758" s="1" t="s">
        <v>174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ユニフォーム佐久早聖臣ICONIC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2</v>
      </c>
      <c r="C759" t="s">
        <v>206</v>
      </c>
      <c r="D759" t="s">
        <v>652</v>
      </c>
      <c r="E759" t="s">
        <v>28</v>
      </c>
      <c r="F759" t="s">
        <v>25</v>
      </c>
      <c r="G759" t="s">
        <v>158</v>
      </c>
      <c r="H759" t="s">
        <v>71</v>
      </c>
      <c r="I759">
        <v>1</v>
      </c>
      <c r="J759" t="s">
        <v>248</v>
      </c>
      <c r="K759" s="1" t="s">
        <v>175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ユニフォーム佐久早聖臣ICONIC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3</v>
      </c>
      <c r="C760" t="s">
        <v>206</v>
      </c>
      <c r="D760" t="s">
        <v>652</v>
      </c>
      <c r="E760" t="s">
        <v>28</v>
      </c>
      <c r="F760" t="s">
        <v>25</v>
      </c>
      <c r="G760" t="s">
        <v>158</v>
      </c>
      <c r="H760" t="s">
        <v>71</v>
      </c>
      <c r="I760">
        <v>1</v>
      </c>
      <c r="J760" t="s">
        <v>15</v>
      </c>
      <c r="K760" s="1" t="s">
        <v>249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ユニフォーム佐久早聖臣ICONIC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1</v>
      </c>
      <c r="C761" s="1" t="s">
        <v>1049</v>
      </c>
      <c r="D761" s="1" t="s">
        <v>131</v>
      </c>
      <c r="E761" s="1" t="s">
        <v>73</v>
      </c>
      <c r="F761" s="1" t="s">
        <v>78</v>
      </c>
      <c r="G761" s="1" t="s">
        <v>135</v>
      </c>
      <c r="H761" s="1" t="s">
        <v>71</v>
      </c>
      <c r="I761">
        <v>1</v>
      </c>
      <c r="J761" t="s">
        <v>15</v>
      </c>
      <c r="K761" s="1" t="s">
        <v>174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サバゲ佐久早聖臣ICONIC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2</v>
      </c>
      <c r="C762" s="1" t="s">
        <v>1049</v>
      </c>
      <c r="D762" s="1" t="s">
        <v>131</v>
      </c>
      <c r="E762" s="1" t="s">
        <v>73</v>
      </c>
      <c r="F762" s="1" t="s">
        <v>78</v>
      </c>
      <c r="G762" s="1" t="s">
        <v>135</v>
      </c>
      <c r="H762" s="1" t="s">
        <v>71</v>
      </c>
      <c r="I762">
        <v>1</v>
      </c>
      <c r="J762" t="s">
        <v>248</v>
      </c>
      <c r="K762" s="1" t="s">
        <v>175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サバゲ佐久早聖臣ICONIC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3</v>
      </c>
      <c r="C763" s="1" t="s">
        <v>1049</v>
      </c>
      <c r="D763" s="1" t="s">
        <v>131</v>
      </c>
      <c r="E763" s="1" t="s">
        <v>73</v>
      </c>
      <c r="F763" s="1" t="s">
        <v>78</v>
      </c>
      <c r="G763" s="1" t="s">
        <v>135</v>
      </c>
      <c r="H763" s="1" t="s">
        <v>71</v>
      </c>
      <c r="I763">
        <v>1</v>
      </c>
      <c r="J763" t="s">
        <v>15</v>
      </c>
      <c r="K763" s="1" t="s">
        <v>249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サバゲ佐久早聖臣ICONIC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1</v>
      </c>
      <c r="C764" t="s">
        <v>206</v>
      </c>
      <c r="D764" t="s">
        <v>655</v>
      </c>
      <c r="E764" t="s">
        <v>28</v>
      </c>
      <c r="F764" t="s">
        <v>21</v>
      </c>
      <c r="G764" t="s">
        <v>158</v>
      </c>
      <c r="H764" t="s">
        <v>71</v>
      </c>
      <c r="I764">
        <v>1</v>
      </c>
      <c r="J764" t="s">
        <v>15</v>
      </c>
      <c r="M764">
        <v>0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ユニフォーム小森元也ICONIC</v>
      </c>
    </row>
    <row r="765" spans="1:20" x14ac:dyDescent="0.35">
      <c r="A765">
        <f>VLOOKUP(Block[[#This Row],[No用]],SetNo[[No.用]:[vlookup 用]],2,FALSE)</f>
        <v>203</v>
      </c>
      <c r="B765">
        <f>IF(ROW()=2,1,IF(A764&lt;&gt;Block[[#This Row],[No]],1,B764+1))</f>
        <v>1</v>
      </c>
      <c r="C765" t="s">
        <v>108</v>
      </c>
      <c r="D765" s="1" t="s">
        <v>687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15</v>
      </c>
      <c r="K765" s="1" t="s">
        <v>174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ユニフォーム大将優ICONIC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2</v>
      </c>
      <c r="C766" t="s">
        <v>108</v>
      </c>
      <c r="D766" s="1" t="s">
        <v>687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15</v>
      </c>
      <c r="K766" s="1" t="s">
        <v>175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ユニフォーム大将優ICONIC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3</v>
      </c>
      <c r="C767" t="s">
        <v>108</v>
      </c>
      <c r="D767" s="1" t="s">
        <v>687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ユニフォーム大将優ICONIC</v>
      </c>
    </row>
    <row r="768" spans="1:20" x14ac:dyDescent="0.35">
      <c r="A768">
        <f>VLOOKUP(Block[[#This Row],[No用]],SetNo[[No.用]:[vlookup 用]],2,FALSE)</f>
        <v>204</v>
      </c>
      <c r="B768">
        <f>IF(ROW()=2,1,IF(A767&lt;&gt;Block[[#This Row],[No]],1,B767+1))</f>
        <v>1</v>
      </c>
      <c r="C768" s="1" t="s">
        <v>935</v>
      </c>
      <c r="D768" s="1" t="s">
        <v>687</v>
      </c>
      <c r="E768" s="1" t="s">
        <v>77</v>
      </c>
      <c r="F768" s="1" t="s">
        <v>78</v>
      </c>
      <c r="G768" s="1" t="s">
        <v>689</v>
      </c>
      <c r="H768" s="1" t="s">
        <v>690</v>
      </c>
      <c r="I768">
        <v>1</v>
      </c>
      <c r="J768" t="s">
        <v>15</v>
      </c>
      <c r="K768" s="1" t="s">
        <v>174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新年大将優ICONIC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2</v>
      </c>
      <c r="C769" s="1" t="s">
        <v>935</v>
      </c>
      <c r="D769" s="1" t="s">
        <v>687</v>
      </c>
      <c r="E769" s="1" t="s">
        <v>77</v>
      </c>
      <c r="F769" s="1" t="s">
        <v>78</v>
      </c>
      <c r="G769" s="1" t="s">
        <v>689</v>
      </c>
      <c r="H769" s="1" t="s">
        <v>690</v>
      </c>
      <c r="I769">
        <v>1</v>
      </c>
      <c r="J769" t="s">
        <v>15</v>
      </c>
      <c r="K769" s="1" t="s">
        <v>175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新年大将優ICONIC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3</v>
      </c>
      <c r="C770" s="1" t="s">
        <v>935</v>
      </c>
      <c r="D770" s="1" t="s">
        <v>687</v>
      </c>
      <c r="E770" s="1" t="s">
        <v>77</v>
      </c>
      <c r="F770" s="1" t="s">
        <v>78</v>
      </c>
      <c r="G770" s="1" t="s">
        <v>689</v>
      </c>
      <c r="H770" s="1" t="s">
        <v>690</v>
      </c>
      <c r="I770">
        <v>1</v>
      </c>
      <c r="J770" t="s">
        <v>15</v>
      </c>
      <c r="K770" s="1" t="s">
        <v>249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新年大将優ICONIC</v>
      </c>
    </row>
    <row r="771" spans="1:20" x14ac:dyDescent="0.35">
      <c r="A771">
        <f>VLOOKUP(Block[[#This Row],[No用]],SetNo[[No.用]:[vlookup 用]],2,FALSE)</f>
        <v>205</v>
      </c>
      <c r="B771">
        <f>IF(ROW()=2,1,IF(A770&lt;&gt;Block[[#This Row],[No]],1,B770+1))</f>
        <v>1</v>
      </c>
      <c r="C771" t="s">
        <v>108</v>
      </c>
      <c r="D771" s="1" t="s">
        <v>692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15</v>
      </c>
      <c r="K771" s="1" t="s">
        <v>174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ユニフォーム沼井和馬ICONIC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2</v>
      </c>
      <c r="C772" t="s">
        <v>108</v>
      </c>
      <c r="D772" s="1" t="s">
        <v>692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15</v>
      </c>
      <c r="K772" s="1" t="s">
        <v>175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ユニフォーム沼井和馬ICONIC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3</v>
      </c>
      <c r="C773" t="s">
        <v>108</v>
      </c>
      <c r="D773" s="1" t="s">
        <v>692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15</v>
      </c>
      <c r="K773" s="1" t="s">
        <v>177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ユニフォーム沼井和馬ICONIC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4</v>
      </c>
      <c r="C774" t="s">
        <v>108</v>
      </c>
      <c r="D774" s="1" t="s">
        <v>692</v>
      </c>
      <c r="E774" s="1" t="s">
        <v>90</v>
      </c>
      <c r="F774" s="1" t="s">
        <v>78</v>
      </c>
      <c r="G774" s="1" t="s">
        <v>689</v>
      </c>
      <c r="H774" t="s">
        <v>71</v>
      </c>
      <c r="I774">
        <v>1</v>
      </c>
      <c r="J774" t="s">
        <v>15</v>
      </c>
      <c r="K774" s="1" t="s">
        <v>249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ユニフォーム沼井和馬ICONIC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1</v>
      </c>
      <c r="C775" t="s">
        <v>108</v>
      </c>
      <c r="D775" s="1" t="s">
        <v>858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15</v>
      </c>
      <c r="K775" s="1" t="s">
        <v>174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ユニフォーム潜尚保ICONIC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2</v>
      </c>
      <c r="C776" t="s">
        <v>108</v>
      </c>
      <c r="D776" s="1" t="s">
        <v>858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15</v>
      </c>
      <c r="K776" s="1" t="s">
        <v>175</v>
      </c>
      <c r="L776" s="1" t="s">
        <v>162</v>
      </c>
      <c r="M776">
        <v>29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ユニフォーム潜尚保ICONIC</v>
      </c>
    </row>
    <row r="777" spans="1:20" x14ac:dyDescent="0.35">
      <c r="A777">
        <f>VLOOKUP(Block[[#This Row],[No用]],SetNo[[No.用]:[vlookup 用]],2,FALSE)</f>
        <v>207</v>
      </c>
      <c r="B777">
        <f>IF(ROW()=2,1,IF(A776&lt;&gt;Block[[#This Row],[No]],1,B776+1))</f>
        <v>1</v>
      </c>
      <c r="C777" s="1" t="s">
        <v>1165</v>
      </c>
      <c r="D777" s="1" t="s">
        <v>858</v>
      </c>
      <c r="E777" s="1" t="s">
        <v>77</v>
      </c>
      <c r="F777" s="1" t="s">
        <v>78</v>
      </c>
      <c r="G777" s="1" t="s">
        <v>689</v>
      </c>
      <c r="H777" s="1" t="s">
        <v>690</v>
      </c>
      <c r="I777">
        <v>1</v>
      </c>
      <c r="J777" t="s">
        <v>15</v>
      </c>
      <c r="K777" s="1" t="s">
        <v>174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バーガー潜尚保ICONIC</v>
      </c>
    </row>
    <row r="778" spans="1:20" x14ac:dyDescent="0.35">
      <c r="A778">
        <f>VLOOKUP(Block[[#This Row],[No用]],SetNo[[No.用]:[vlookup 用]],2,FALSE)</f>
        <v>207</v>
      </c>
      <c r="B778">
        <f>IF(ROW()=2,1,IF(A777&lt;&gt;Block[[#This Row],[No]],1,B777+1))</f>
        <v>2</v>
      </c>
      <c r="C778" s="1" t="s">
        <v>1165</v>
      </c>
      <c r="D778" s="1" t="s">
        <v>858</v>
      </c>
      <c r="E778" s="1" t="s">
        <v>77</v>
      </c>
      <c r="F778" s="1" t="s">
        <v>78</v>
      </c>
      <c r="G778" s="1" t="s">
        <v>689</v>
      </c>
      <c r="H778" s="1" t="s">
        <v>690</v>
      </c>
      <c r="I778">
        <v>1</v>
      </c>
      <c r="J778" t="s">
        <v>15</v>
      </c>
      <c r="K778" s="1" t="s">
        <v>175</v>
      </c>
      <c r="L778" s="1" t="s">
        <v>162</v>
      </c>
      <c r="M778">
        <v>29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バーガー潜尚保ICONIC</v>
      </c>
    </row>
    <row r="779" spans="1:20" x14ac:dyDescent="0.35">
      <c r="A779">
        <f>VLOOKUP(Block[[#This Row],[No用]],SetNo[[No.用]:[vlookup 用]],2,FALSE)</f>
        <v>208</v>
      </c>
      <c r="B779">
        <f>IF(ROW()=2,1,IF(A778&lt;&gt;Block[[#This Row],[No]],1,B778+1))</f>
        <v>1</v>
      </c>
      <c r="C779" t="s">
        <v>108</v>
      </c>
      <c r="D779" s="1" t="s">
        <v>860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15</v>
      </c>
      <c r="K779" s="1" t="s">
        <v>174</v>
      </c>
      <c r="L779" s="1" t="s">
        <v>173</v>
      </c>
      <c r="M779">
        <v>33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ユニフォーム高千穂恵也ICONIC</v>
      </c>
    </row>
    <row r="780" spans="1:20" x14ac:dyDescent="0.35">
      <c r="A780">
        <f>VLOOKUP(Block[[#This Row],[No用]],SetNo[[No.用]:[vlookup 用]],2,FALSE)</f>
        <v>208</v>
      </c>
      <c r="B780">
        <f>IF(ROW()=2,1,IF(A779&lt;&gt;Block[[#This Row],[No]],1,B779+1))</f>
        <v>2</v>
      </c>
      <c r="C780" t="s">
        <v>108</v>
      </c>
      <c r="D780" s="1" t="s">
        <v>860</v>
      </c>
      <c r="E780" s="1" t="s">
        <v>90</v>
      </c>
      <c r="F780" s="1" t="s">
        <v>78</v>
      </c>
      <c r="G780" s="1" t="s">
        <v>689</v>
      </c>
      <c r="H780" t="s">
        <v>71</v>
      </c>
      <c r="I780">
        <v>1</v>
      </c>
      <c r="J780" t="s">
        <v>15</v>
      </c>
      <c r="K780" s="1" t="s">
        <v>175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ユニフォーム高千穂恵也ICONIC</v>
      </c>
    </row>
    <row r="781" spans="1:20" x14ac:dyDescent="0.35">
      <c r="A781">
        <f>VLOOKUP(Block[[#This Row],[No用]],SetNo[[No.用]:[vlookup 用]],2,FALSE)</f>
        <v>208</v>
      </c>
      <c r="B781">
        <f>IF(ROW()=2,1,IF(A780&lt;&gt;Block[[#This Row],[No]],1,B780+1))</f>
        <v>3</v>
      </c>
      <c r="C781" t="s">
        <v>108</v>
      </c>
      <c r="D781" s="1" t="s">
        <v>860</v>
      </c>
      <c r="E781" s="1" t="s">
        <v>90</v>
      </c>
      <c r="F781" s="1" t="s">
        <v>78</v>
      </c>
      <c r="G781" s="1" t="s">
        <v>689</v>
      </c>
      <c r="H781" t="s">
        <v>71</v>
      </c>
      <c r="I781">
        <v>1</v>
      </c>
      <c r="J781" t="s">
        <v>15</v>
      </c>
      <c r="K781" s="1" t="s">
        <v>177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ユニフォーム高千穂恵也ICONIC</v>
      </c>
    </row>
    <row r="782" spans="1:20" x14ac:dyDescent="0.35">
      <c r="A782">
        <f>VLOOKUP(Block[[#This Row],[No用]],SetNo[[No.用]:[vlookup 用]],2,FALSE)</f>
        <v>208</v>
      </c>
      <c r="B782">
        <f>IF(ROW()=2,1,IF(A781&lt;&gt;Block[[#This Row],[No]],1,B781+1))</f>
        <v>4</v>
      </c>
      <c r="C782" t="s">
        <v>108</v>
      </c>
      <c r="D782" s="1" t="s">
        <v>860</v>
      </c>
      <c r="E782" s="1" t="s">
        <v>90</v>
      </c>
      <c r="F782" s="1" t="s">
        <v>78</v>
      </c>
      <c r="G782" s="1" t="s">
        <v>689</v>
      </c>
      <c r="H782" t="s">
        <v>71</v>
      </c>
      <c r="I782">
        <v>1</v>
      </c>
      <c r="J782" t="s">
        <v>15</v>
      </c>
      <c r="K782" s="1" t="s">
        <v>249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ユニフォーム高千穂恵也ICONIC</v>
      </c>
    </row>
    <row r="783" spans="1:20" x14ac:dyDescent="0.35">
      <c r="A783">
        <f>VLOOKUP(Block[[#This Row],[No用]],SetNo[[No.用]:[vlookup 用]],2,FALSE)</f>
        <v>209</v>
      </c>
      <c r="B783">
        <f>IF(ROW()=2,1,IF(A782&lt;&gt;Block[[#This Row],[No]],1,B782+1))</f>
        <v>1</v>
      </c>
      <c r="C783" t="s">
        <v>108</v>
      </c>
      <c r="D783" s="1" t="s">
        <v>862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15</v>
      </c>
      <c r="K783" s="1" t="s">
        <v>174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ユニフォーム広尾倖児ICONIC</v>
      </c>
    </row>
    <row r="784" spans="1:20" x14ac:dyDescent="0.35">
      <c r="A784">
        <f>VLOOKUP(Block[[#This Row],[No用]],SetNo[[No.用]:[vlookup 用]],2,FALSE)</f>
        <v>209</v>
      </c>
      <c r="B784">
        <f>IF(ROW()=2,1,IF(A783&lt;&gt;Block[[#This Row],[No]],1,B783+1))</f>
        <v>2</v>
      </c>
      <c r="C784" t="s">
        <v>108</v>
      </c>
      <c r="D784" s="1" t="s">
        <v>862</v>
      </c>
      <c r="E784" s="1" t="s">
        <v>90</v>
      </c>
      <c r="F784" s="1" t="s">
        <v>82</v>
      </c>
      <c r="G784" s="1" t="s">
        <v>689</v>
      </c>
      <c r="H784" t="s">
        <v>71</v>
      </c>
      <c r="I784">
        <v>1</v>
      </c>
      <c r="J784" t="s">
        <v>15</v>
      </c>
      <c r="K784" s="1" t="s">
        <v>175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ユニフォーム広尾倖児ICONIC</v>
      </c>
    </row>
    <row r="785" spans="1:20" x14ac:dyDescent="0.35">
      <c r="A785">
        <f>VLOOKUP(Block[[#This Row],[No用]],SetNo[[No.用]:[vlookup 用]],2,FALSE)</f>
        <v>209</v>
      </c>
      <c r="B785">
        <f>IF(ROW()=2,1,IF(A784&lt;&gt;Block[[#This Row],[No]],1,B784+1))</f>
        <v>3</v>
      </c>
      <c r="C785" t="s">
        <v>108</v>
      </c>
      <c r="D785" s="1" t="s">
        <v>862</v>
      </c>
      <c r="E785" s="1" t="s">
        <v>90</v>
      </c>
      <c r="F785" s="1" t="s">
        <v>82</v>
      </c>
      <c r="G785" s="1" t="s">
        <v>689</v>
      </c>
      <c r="H785" t="s">
        <v>71</v>
      </c>
      <c r="I785">
        <v>1</v>
      </c>
      <c r="J785" t="s">
        <v>15</v>
      </c>
      <c r="K785" s="1" t="s">
        <v>177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ユニフォーム広尾倖児ICONIC</v>
      </c>
    </row>
    <row r="786" spans="1:20" x14ac:dyDescent="0.35">
      <c r="A786">
        <f>VLOOKUP(Block[[#This Row],[No用]],SetNo[[No.用]:[vlookup 用]],2,FALSE)</f>
        <v>209</v>
      </c>
      <c r="B786">
        <f>IF(ROW()=2,1,IF(A785&lt;&gt;Block[[#This Row],[No]],1,B785+1))</f>
        <v>4</v>
      </c>
      <c r="C786" t="s">
        <v>108</v>
      </c>
      <c r="D786" s="1" t="s">
        <v>862</v>
      </c>
      <c r="E786" s="1" t="s">
        <v>90</v>
      </c>
      <c r="F786" s="1" t="s">
        <v>82</v>
      </c>
      <c r="G786" s="1" t="s">
        <v>689</v>
      </c>
      <c r="H786" t="s">
        <v>71</v>
      </c>
      <c r="I786">
        <v>1</v>
      </c>
      <c r="J786" t="s">
        <v>15</v>
      </c>
      <c r="K786" s="1" t="s">
        <v>249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ユニフォーム広尾倖児ICONIC</v>
      </c>
    </row>
    <row r="787" spans="1:20" x14ac:dyDescent="0.35">
      <c r="A787">
        <f>VLOOKUP(Block[[#This Row],[No用]],SetNo[[No.用]:[vlookup 用]],2,FALSE)</f>
        <v>210</v>
      </c>
      <c r="B787">
        <f>IF(ROW()=2,1,IF(A786&lt;&gt;Block[[#This Row],[No]],1,B786+1))</f>
        <v>1</v>
      </c>
      <c r="C787" t="s">
        <v>108</v>
      </c>
      <c r="D787" s="1" t="s">
        <v>864</v>
      </c>
      <c r="E787" s="1" t="s">
        <v>90</v>
      </c>
      <c r="F787" s="1" t="s">
        <v>74</v>
      </c>
      <c r="G787" s="1" t="s">
        <v>689</v>
      </c>
      <c r="H787" t="s">
        <v>71</v>
      </c>
      <c r="I787">
        <v>1</v>
      </c>
      <c r="J787" t="s">
        <v>15</v>
      </c>
      <c r="K787" s="1" t="s">
        <v>174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ユニフォーム先島伊澄ICONIC</v>
      </c>
    </row>
    <row r="788" spans="1:20" x14ac:dyDescent="0.35">
      <c r="A788">
        <f>VLOOKUP(Block[[#This Row],[No用]],SetNo[[No.用]:[vlookup 用]],2,FALSE)</f>
        <v>210</v>
      </c>
      <c r="B788">
        <f>IF(ROW()=2,1,IF(A787&lt;&gt;Block[[#This Row],[No]],1,B787+1))</f>
        <v>2</v>
      </c>
      <c r="C788" t="s">
        <v>108</v>
      </c>
      <c r="D788" s="1" t="s">
        <v>864</v>
      </c>
      <c r="E788" s="1" t="s">
        <v>90</v>
      </c>
      <c r="F788" s="1" t="s">
        <v>74</v>
      </c>
      <c r="G788" s="1" t="s">
        <v>689</v>
      </c>
      <c r="H788" t="s">
        <v>71</v>
      </c>
      <c r="I788">
        <v>1</v>
      </c>
      <c r="J788" t="s">
        <v>15</v>
      </c>
      <c r="K788" s="1" t="s">
        <v>175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ユニフォーム先島伊澄ICONIC</v>
      </c>
    </row>
    <row r="789" spans="1:20" x14ac:dyDescent="0.35">
      <c r="A789">
        <f>VLOOKUP(Block[[#This Row],[No用]],SetNo[[No.用]:[vlookup 用]],2,FALSE)</f>
        <v>210</v>
      </c>
      <c r="B789">
        <f>IF(ROW()=2,1,IF(A788&lt;&gt;Block[[#This Row],[No]],1,B788+1))</f>
        <v>3</v>
      </c>
      <c r="C789" t="s">
        <v>108</v>
      </c>
      <c r="D789" s="1" t="s">
        <v>864</v>
      </c>
      <c r="E789" s="1" t="s">
        <v>90</v>
      </c>
      <c r="F789" s="1" t="s">
        <v>74</v>
      </c>
      <c r="G789" s="1" t="s">
        <v>689</v>
      </c>
      <c r="H789" t="s">
        <v>71</v>
      </c>
      <c r="I789">
        <v>1</v>
      </c>
      <c r="J789" t="s">
        <v>15</v>
      </c>
      <c r="K789" s="1" t="s">
        <v>249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ユニフォーム先島伊澄ICONIC</v>
      </c>
    </row>
    <row r="790" spans="1:20" x14ac:dyDescent="0.35">
      <c r="A790">
        <f>VLOOKUP(Block[[#This Row],[No用]],SetNo[[No.用]:[vlookup 用]],2,FALSE)</f>
        <v>211</v>
      </c>
      <c r="B790">
        <f>IF(ROW()=2,1,IF(A789&lt;&gt;Block[[#This Row],[No]],1,B789+1))</f>
        <v>1</v>
      </c>
      <c r="C790" t="s">
        <v>108</v>
      </c>
      <c r="D790" s="1" t="s">
        <v>866</v>
      </c>
      <c r="E790" s="1" t="s">
        <v>90</v>
      </c>
      <c r="F790" s="1" t="s">
        <v>82</v>
      </c>
      <c r="G790" s="1" t="s">
        <v>689</v>
      </c>
      <c r="H790" t="s">
        <v>71</v>
      </c>
      <c r="I790">
        <v>1</v>
      </c>
      <c r="J790" t="s">
        <v>15</v>
      </c>
      <c r="K790" s="1" t="s">
        <v>174</v>
      </c>
      <c r="L790" s="1" t="s">
        <v>178</v>
      </c>
      <c r="M790">
        <v>34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ユニフォーム背黒晃彦ICONIC</v>
      </c>
    </row>
    <row r="791" spans="1:20" x14ac:dyDescent="0.35">
      <c r="A791">
        <f>VLOOKUP(Block[[#This Row],[No用]],SetNo[[No.用]:[vlookup 用]],2,FALSE)</f>
        <v>211</v>
      </c>
      <c r="B791">
        <f>IF(ROW()=2,1,IF(A790&lt;&gt;Block[[#This Row],[No]],1,B790+1))</f>
        <v>2</v>
      </c>
      <c r="C791" t="s">
        <v>108</v>
      </c>
      <c r="D791" s="1" t="s">
        <v>866</v>
      </c>
      <c r="E791" s="1" t="s">
        <v>90</v>
      </c>
      <c r="F791" s="1" t="s">
        <v>82</v>
      </c>
      <c r="G791" s="1" t="s">
        <v>689</v>
      </c>
      <c r="H791" t="s">
        <v>71</v>
      </c>
      <c r="I791">
        <v>1</v>
      </c>
      <c r="J791" t="s">
        <v>15</v>
      </c>
      <c r="K791" s="1" t="s">
        <v>175</v>
      </c>
      <c r="L791" s="1" t="s">
        <v>173</v>
      </c>
      <c r="M791">
        <v>34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ユニフォーム背黒晃彦ICONIC</v>
      </c>
    </row>
    <row r="792" spans="1:20" x14ac:dyDescent="0.35">
      <c r="A792">
        <f>VLOOKUP(Block[[#This Row],[No用]],SetNo[[No.用]:[vlookup 用]],2,FALSE)</f>
        <v>211</v>
      </c>
      <c r="B792">
        <f>IF(ROW()=2,1,IF(A791&lt;&gt;Block[[#This Row],[No]],1,B791+1))</f>
        <v>3</v>
      </c>
      <c r="C792" t="s">
        <v>108</v>
      </c>
      <c r="D792" s="1" t="s">
        <v>866</v>
      </c>
      <c r="E792" s="1" t="s">
        <v>90</v>
      </c>
      <c r="F792" s="1" t="s">
        <v>82</v>
      </c>
      <c r="G792" s="1" t="s">
        <v>689</v>
      </c>
      <c r="H792" t="s">
        <v>71</v>
      </c>
      <c r="I792">
        <v>1</v>
      </c>
      <c r="J792" t="s">
        <v>15</v>
      </c>
      <c r="K792" s="1" t="s">
        <v>179</v>
      </c>
      <c r="L792" s="1" t="s">
        <v>173</v>
      </c>
      <c r="M792">
        <v>37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ユニフォーム背黒晃彦ICONIC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4</v>
      </c>
      <c r="C793" t="s">
        <v>108</v>
      </c>
      <c r="D793" s="1" t="s">
        <v>866</v>
      </c>
      <c r="E793" s="1" t="s">
        <v>90</v>
      </c>
      <c r="F793" s="1" t="s">
        <v>82</v>
      </c>
      <c r="G793" s="1" t="s">
        <v>689</v>
      </c>
      <c r="H793" t="s">
        <v>71</v>
      </c>
      <c r="I793">
        <v>1</v>
      </c>
      <c r="J793" t="s">
        <v>15</v>
      </c>
      <c r="K793" s="1" t="s">
        <v>177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ユニフォーム背黒晃彦ICONIC</v>
      </c>
    </row>
    <row r="794" spans="1:20" x14ac:dyDescent="0.35">
      <c r="A794">
        <f>VLOOKUP(Block[[#This Row],[No用]],SetNo[[No.用]:[vlookup 用]],2,FALSE)</f>
        <v>211</v>
      </c>
      <c r="B794">
        <f>IF(ROW()=2,1,IF(A793&lt;&gt;Block[[#This Row],[No]],1,B793+1))</f>
        <v>5</v>
      </c>
      <c r="C794" t="s">
        <v>108</v>
      </c>
      <c r="D794" s="1" t="s">
        <v>866</v>
      </c>
      <c r="E794" s="1" t="s">
        <v>90</v>
      </c>
      <c r="F794" s="1" t="s">
        <v>82</v>
      </c>
      <c r="G794" s="1" t="s">
        <v>689</v>
      </c>
      <c r="H794" t="s">
        <v>71</v>
      </c>
      <c r="I794">
        <v>1</v>
      </c>
      <c r="J794" t="s">
        <v>15</v>
      </c>
      <c r="K794" s="1" t="s">
        <v>249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ユニフォーム背黒晃彦ICONIC</v>
      </c>
    </row>
    <row r="795" spans="1:20" x14ac:dyDescent="0.35">
      <c r="A795">
        <f>VLOOKUP(Block[[#This Row],[No用]],SetNo[[No.用]:[vlookup 用]],2,FALSE)</f>
        <v>211</v>
      </c>
      <c r="B795">
        <f>IF(ROW()=2,1,IF(A794&lt;&gt;Block[[#This Row],[No]],1,B794+1))</f>
        <v>6</v>
      </c>
      <c r="C795" t="s">
        <v>108</v>
      </c>
      <c r="D795" s="1" t="s">
        <v>866</v>
      </c>
      <c r="E795" s="1" t="s">
        <v>90</v>
      </c>
      <c r="F795" s="1" t="s">
        <v>82</v>
      </c>
      <c r="G795" s="1" t="s">
        <v>689</v>
      </c>
      <c r="H795" t="s">
        <v>71</v>
      </c>
      <c r="I795">
        <v>1</v>
      </c>
      <c r="J795" t="s">
        <v>15</v>
      </c>
      <c r="K795" s="1" t="s">
        <v>183</v>
      </c>
      <c r="L795" s="1" t="s">
        <v>225</v>
      </c>
      <c r="M795">
        <v>44</v>
      </c>
      <c r="N795">
        <v>0</v>
      </c>
      <c r="O795">
        <v>54</v>
      </c>
      <c r="P795">
        <v>0</v>
      </c>
      <c r="T795" t="str">
        <f>Block[[#This Row],[服装]]&amp;Block[[#This Row],[名前]]&amp;Block[[#This Row],[レアリティ]]</f>
        <v>ユニフォーム背黒晃彦ICONIC</v>
      </c>
    </row>
    <row r="796" spans="1:20" x14ac:dyDescent="0.35">
      <c r="A796">
        <f>VLOOKUP(Block[[#This Row],[No用]],SetNo[[No.用]:[vlookup 用]],2,FALSE)</f>
        <v>212</v>
      </c>
      <c r="B796">
        <f>IF(ROW()=2,1,IF(A795&lt;&gt;Block[[#This Row],[No]],1,B795+1))</f>
        <v>1</v>
      </c>
      <c r="C796" t="s">
        <v>108</v>
      </c>
      <c r="D796" s="1" t="s">
        <v>868</v>
      </c>
      <c r="E796" s="1" t="s">
        <v>90</v>
      </c>
      <c r="F796" s="1" t="s">
        <v>80</v>
      </c>
      <c r="G796" s="1" t="s">
        <v>689</v>
      </c>
      <c r="H796" t="s">
        <v>71</v>
      </c>
      <c r="I796">
        <v>1</v>
      </c>
      <c r="J796" t="s">
        <v>15</v>
      </c>
      <c r="M796">
        <v>0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50"/>
  <sheetViews>
    <sheetView topLeftCell="A243" workbookViewId="0">
      <selection activeCell="A286" sqref="A286:XFD286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145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180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t="s">
        <v>117</v>
      </c>
      <c r="D62" t="s">
        <v>145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プール掃除東峰旭ICONIC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275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2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180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3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961</v>
      </c>
      <c r="L66" s="1" t="s">
        <v>225</v>
      </c>
      <c r="M66">
        <v>38</v>
      </c>
      <c r="N66">
        <v>0</v>
      </c>
      <c r="O66">
        <v>48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145</v>
      </c>
      <c r="E67" t="s">
        <v>28</v>
      </c>
      <c r="F67" t="s">
        <v>25</v>
      </c>
      <c r="G67" t="s">
        <v>136</v>
      </c>
      <c r="H67" t="s">
        <v>219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ユニフォーム東峰旭YELL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180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206</v>
      </c>
      <c r="D69" t="s">
        <v>146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277</v>
      </c>
      <c r="L70" t="s">
        <v>225</v>
      </c>
      <c r="M70">
        <v>42</v>
      </c>
      <c r="N70">
        <v>0</v>
      </c>
      <c r="O70">
        <v>52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191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225</v>
      </c>
      <c r="M72">
        <v>38</v>
      </c>
      <c r="N72">
        <v>0</v>
      </c>
      <c r="O72">
        <v>48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3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s="1" t="s">
        <v>1071</v>
      </c>
      <c r="D74" s="1" t="s">
        <v>146</v>
      </c>
      <c r="E74" s="1" t="s">
        <v>73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191</v>
      </c>
      <c r="L74" s="1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RPG縁下力ICONIC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277</v>
      </c>
      <c r="L75" s="1" t="s">
        <v>225</v>
      </c>
      <c r="M75">
        <v>39</v>
      </c>
      <c r="N75">
        <v>0</v>
      </c>
      <c r="O75">
        <v>49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206</v>
      </c>
      <c r="D76" t="s">
        <v>147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ユニフォーム木下久志ICONIC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148</v>
      </c>
      <c r="E77" t="s">
        <v>24</v>
      </c>
      <c r="F77" t="s">
        <v>26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ユニフォーム成田一仁ICONIC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ユニフォーム孤爪研磨ICONIC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149</v>
      </c>
      <c r="D79" t="s">
        <v>39</v>
      </c>
      <c r="E79" t="s">
        <v>90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150</v>
      </c>
      <c r="D80" t="s">
        <v>39</v>
      </c>
      <c r="E80" t="s">
        <v>77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281</v>
      </c>
      <c r="L80" t="s">
        <v>173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夏祭り孤爪研磨ICONIC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281</v>
      </c>
      <c r="L81" s="1" t="s">
        <v>1016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2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278</v>
      </c>
      <c r="L82" s="1" t="s">
        <v>225</v>
      </c>
      <c r="M82">
        <v>39</v>
      </c>
      <c r="N82">
        <v>0</v>
      </c>
      <c r="O82">
        <v>49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3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274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1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2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282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3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193</v>
      </c>
      <c r="L86" t="s">
        <v>225</v>
      </c>
      <c r="M86">
        <v>44</v>
      </c>
      <c r="N86">
        <v>0</v>
      </c>
      <c r="O86">
        <v>54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149</v>
      </c>
      <c r="D87" t="s">
        <v>40</v>
      </c>
      <c r="E87" t="s">
        <v>73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150</v>
      </c>
      <c r="D89" t="s">
        <v>40</v>
      </c>
      <c r="E89" t="s">
        <v>90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夏祭り黒尾鉄朗ICONIC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s="1" t="s">
        <v>1001</v>
      </c>
      <c r="D91" s="1" t="s">
        <v>40</v>
      </c>
      <c r="E91" s="1" t="s">
        <v>77</v>
      </c>
      <c r="F91" s="1" t="s">
        <v>26</v>
      </c>
      <c r="G91" s="1" t="s">
        <v>27</v>
      </c>
      <c r="H91" s="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1周年黒尾鉄朗ICONIC</v>
      </c>
    </row>
    <row r="92" spans="1:20" x14ac:dyDescent="0.35">
      <c r="A92">
        <f>VLOOKUP(Special[[#This Row],[No用]],SetNo[[No.用]:[vlookup 用]],2,FALSE)</f>
        <v>48</v>
      </c>
      <c r="B92">
        <f>IF(ROW()=2,1,IF(A91&lt;&gt;Special[[#This Row],[No]],1,B91+1))</f>
        <v>2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108</v>
      </c>
      <c r="D93" t="s">
        <v>41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s="1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386</v>
      </c>
      <c r="D94" t="s">
        <v>41</v>
      </c>
      <c r="E94" t="s">
        <v>24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探偵灰羽リエーフICONIC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s="1" t="s">
        <v>1122</v>
      </c>
      <c r="D95" s="1" t="s">
        <v>41</v>
      </c>
      <c r="E95" s="1" t="s">
        <v>77</v>
      </c>
      <c r="F95" s="1" t="s">
        <v>26</v>
      </c>
      <c r="G95" s="1" t="s">
        <v>27</v>
      </c>
      <c r="H95" s="1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路地裏灰羽リエーフICONIC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2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180</v>
      </c>
      <c r="L96" s="1" t="s">
        <v>1141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1</v>
      </c>
      <c r="C97" t="s">
        <v>108</v>
      </c>
      <c r="D97" t="s">
        <v>42</v>
      </c>
      <c r="E97" t="s">
        <v>24</v>
      </c>
      <c r="F97" t="s">
        <v>21</v>
      </c>
      <c r="G97" t="s">
        <v>27</v>
      </c>
      <c r="H97" t="s">
        <v>71</v>
      </c>
      <c r="I97">
        <v>1</v>
      </c>
      <c r="J97" t="s">
        <v>262</v>
      </c>
      <c r="K97" t="s">
        <v>196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ユニフォーム夜久衛輔ICONIC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s="1" t="s">
        <v>1001</v>
      </c>
      <c r="D98" s="1" t="s">
        <v>42</v>
      </c>
      <c r="E98" s="1" t="s">
        <v>77</v>
      </c>
      <c r="F98" s="1" t="s">
        <v>21</v>
      </c>
      <c r="G98" s="1" t="s">
        <v>27</v>
      </c>
      <c r="H98" s="1" t="s">
        <v>71</v>
      </c>
      <c r="I98">
        <v>2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ユニフォーム福永招平ICONIC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s="1" t="s">
        <v>1165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バーガー福永招平ICONIC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t="s">
        <v>108</v>
      </c>
      <c r="D101" t="s">
        <v>44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ユニフォーム犬岡走ICONIC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s="1" t="s">
        <v>935</v>
      </c>
      <c r="D102" t="s">
        <v>44</v>
      </c>
      <c r="E102" s="1" t="s">
        <v>77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108</v>
      </c>
      <c r="D103" t="s">
        <v>45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285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1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2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59</v>
      </c>
      <c r="B107">
        <f>IF(ROW()=2,1,IF(A106&lt;&gt;Special[[#This Row],[No]],1,B106+1))</f>
        <v>3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919</v>
      </c>
      <c r="L107" s="1" t="s">
        <v>225</v>
      </c>
      <c r="M107">
        <v>45</v>
      </c>
      <c r="N107">
        <v>0</v>
      </c>
      <c r="O107">
        <v>55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46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ユニフォーム芝山優生ICONIC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ユニフォーム海信之ICONIC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108</v>
      </c>
      <c r="D111" t="s">
        <v>47</v>
      </c>
      <c r="E111" t="s">
        <v>90</v>
      </c>
      <c r="F111" t="s">
        <v>78</v>
      </c>
      <c r="G111" t="s">
        <v>27</v>
      </c>
      <c r="H111" t="s">
        <v>151</v>
      </c>
      <c r="I111">
        <v>1</v>
      </c>
      <c r="J111" t="s">
        <v>262</v>
      </c>
      <c r="K111" t="s">
        <v>191</v>
      </c>
      <c r="L11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ユニフォーム海信之YELL</v>
      </c>
    </row>
    <row r="112" spans="1:20" x14ac:dyDescent="0.35">
      <c r="A112">
        <f>VLOOKUP(Special[[#This Row],[No用]],SetNo[[No.用]:[vlookup 用]],2,FALSE)</f>
        <v>62</v>
      </c>
      <c r="B112">
        <f>IF(ROW()=2,1,IF(A111&lt;&gt;Special[[#This Row],[No]],1,B111+1))</f>
        <v>2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272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1</v>
      </c>
      <c r="C113" t="s">
        <v>206</v>
      </c>
      <c r="D113" t="s">
        <v>48</v>
      </c>
      <c r="E113" t="s">
        <v>23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117</v>
      </c>
      <c r="D115" t="s">
        <v>48</v>
      </c>
      <c r="E115" t="s">
        <v>24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プール掃除青根高伸ICONIC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288</v>
      </c>
      <c r="L116" t="s">
        <v>225</v>
      </c>
      <c r="M116">
        <v>43</v>
      </c>
      <c r="N116">
        <v>0</v>
      </c>
      <c r="O116">
        <v>53</v>
      </c>
      <c r="P116">
        <v>0</v>
      </c>
      <c r="R116" t="s">
        <v>287</v>
      </c>
      <c r="S116">
        <v>2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149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117</v>
      </c>
      <c r="D121" t="s">
        <v>50</v>
      </c>
      <c r="E121" t="s">
        <v>23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プール掃除二口堅治ICONIC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272</v>
      </c>
      <c r="L122" t="s">
        <v>173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s="1" t="s">
        <v>1122</v>
      </c>
      <c r="D123" s="1" t="s">
        <v>50</v>
      </c>
      <c r="E123" s="1" t="s">
        <v>90</v>
      </c>
      <c r="F123" s="1" t="s">
        <v>25</v>
      </c>
      <c r="G123" s="1" t="s">
        <v>49</v>
      </c>
      <c r="H123" s="1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路地裏二口堅治ICONIC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180</v>
      </c>
      <c r="L124" s="1" t="s">
        <v>1016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149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2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282</v>
      </c>
      <c r="L130" s="1" t="s">
        <v>173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3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848</v>
      </c>
      <c r="L131" s="1" t="s">
        <v>225</v>
      </c>
      <c r="M131">
        <v>42</v>
      </c>
      <c r="N131">
        <v>0</v>
      </c>
      <c r="O131">
        <v>52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51</v>
      </c>
      <c r="E132" t="s">
        <v>23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11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ユニフォーム小原豊ICONIC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52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ユニフォーム女川太郎ICONIC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53</v>
      </c>
      <c r="E134" t="s">
        <v>23</v>
      </c>
      <c r="F134" t="s">
        <v>21</v>
      </c>
      <c r="G134" t="s">
        <v>49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ユニフォーム作並浩輔ICONIC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54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ユニフォーム吹上仁悟ICONIC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180</v>
      </c>
      <c r="L136" s="1" t="s">
        <v>173</v>
      </c>
      <c r="M136">
        <v>40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1022</v>
      </c>
      <c r="E137" s="1" t="s">
        <v>23</v>
      </c>
      <c r="F137" s="1" t="s">
        <v>74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ユニフォーム茂庭要ICONIC</v>
      </c>
    </row>
    <row r="138" spans="1:20" x14ac:dyDescent="0.35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950</v>
      </c>
      <c r="L138" s="1" t="s">
        <v>225</v>
      </c>
      <c r="M138">
        <v>43</v>
      </c>
      <c r="N138">
        <v>0</v>
      </c>
      <c r="O138">
        <v>53</v>
      </c>
      <c r="P138">
        <v>0</v>
      </c>
      <c r="Q138" s="1" t="s">
        <v>1029</v>
      </c>
      <c r="R138" s="1" t="s">
        <v>1030</v>
      </c>
      <c r="S138">
        <v>2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108</v>
      </c>
      <c r="D139" s="1" t="s">
        <v>1024</v>
      </c>
      <c r="E139" s="1" t="s">
        <v>23</v>
      </c>
      <c r="F139" s="1" t="s">
        <v>82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Q139" s="1"/>
      <c r="R139" s="1"/>
      <c r="T139" t="str">
        <f>Special[[#This Row],[服装]]&amp;Special[[#This Row],[名前]]&amp;Special[[#This Row],[レアリティ]]</f>
        <v>ユニフォーム鎌先靖志ICONIC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1026</v>
      </c>
      <c r="E140" s="1" t="s">
        <v>23</v>
      </c>
      <c r="F140" s="1" t="s">
        <v>78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ユニフォーム笹谷武仁ICONIC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30</v>
      </c>
      <c r="E141" t="s">
        <v>23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2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3</v>
      </c>
      <c r="C143" s="7" t="s">
        <v>206</v>
      </c>
      <c r="D143" s="7" t="s">
        <v>30</v>
      </c>
      <c r="E143" s="7" t="s">
        <v>23</v>
      </c>
      <c r="F143" s="7" t="s">
        <v>31</v>
      </c>
      <c r="G143" s="7" t="s">
        <v>20</v>
      </c>
      <c r="H143" s="7" t="s">
        <v>71</v>
      </c>
      <c r="I143" s="7">
        <v>1</v>
      </c>
      <c r="J143" s="7" t="s">
        <v>406</v>
      </c>
      <c r="K143" s="7" t="s">
        <v>950</v>
      </c>
      <c r="L143" s="7" t="s">
        <v>225</v>
      </c>
      <c r="M143" s="7">
        <v>48</v>
      </c>
      <c r="N143" s="7">
        <v>0</v>
      </c>
      <c r="O143" s="7">
        <v>58</v>
      </c>
      <c r="P143" s="7">
        <v>0</v>
      </c>
      <c r="Q143" s="7" t="s">
        <v>964</v>
      </c>
      <c r="R143" s="7" t="s">
        <v>965</v>
      </c>
      <c r="S143" s="7">
        <v>2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3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281</v>
      </c>
      <c r="L146" s="1" t="s">
        <v>173</v>
      </c>
      <c r="M146">
        <v>19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1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2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3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916</v>
      </c>
      <c r="L149" s="1" t="s">
        <v>225</v>
      </c>
      <c r="M149">
        <v>48</v>
      </c>
      <c r="N149">
        <v>0</v>
      </c>
      <c r="O149">
        <v>58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948</v>
      </c>
      <c r="L151" s="1" t="s">
        <v>162</v>
      </c>
      <c r="M151">
        <v>33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3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951</v>
      </c>
      <c r="L152" s="1" t="s">
        <v>225</v>
      </c>
      <c r="M152">
        <v>48</v>
      </c>
      <c r="N152">
        <v>0</v>
      </c>
      <c r="O152">
        <v>58</v>
      </c>
      <c r="P152">
        <v>0</v>
      </c>
      <c r="Q152" s="1" t="s">
        <v>949</v>
      </c>
      <c r="R152" s="7" t="s">
        <v>966</v>
      </c>
      <c r="S152" s="7">
        <v>2</v>
      </c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1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2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282</v>
      </c>
      <c r="L154" s="1" t="s">
        <v>162</v>
      </c>
      <c r="M154">
        <v>33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3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180</v>
      </c>
      <c r="L155" s="1" t="s">
        <v>225</v>
      </c>
      <c r="M155">
        <v>49</v>
      </c>
      <c r="N155">
        <v>0</v>
      </c>
      <c r="O155">
        <v>59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206</v>
      </c>
      <c r="D156" t="s">
        <v>32</v>
      </c>
      <c r="E156" t="s">
        <v>28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273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t="s">
        <v>117</v>
      </c>
      <c r="D158" t="s">
        <v>32</v>
      </c>
      <c r="E158" t="s">
        <v>23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47</v>
      </c>
      <c r="N159">
        <v>0</v>
      </c>
      <c r="O159">
        <v>57</v>
      </c>
      <c r="P159">
        <v>0</v>
      </c>
      <c r="R159" s="1" t="s">
        <v>287</v>
      </c>
      <c r="S159">
        <v>2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149</v>
      </c>
      <c r="D160" t="s">
        <v>32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制服岩泉一ICONIC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957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s="1" t="s">
        <v>1049</v>
      </c>
      <c r="D162" s="1" t="s">
        <v>32</v>
      </c>
      <c r="E162" s="1" t="s">
        <v>77</v>
      </c>
      <c r="F162" s="1" t="s">
        <v>25</v>
      </c>
      <c r="G162" s="1" t="s">
        <v>20</v>
      </c>
      <c r="H162" s="1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R162" s="1"/>
      <c r="T162" t="str">
        <f>Special[[#This Row],[服装]]&amp;Special[[#This Row],[名前]]&amp;Special[[#This Row],[レアリティ]]</f>
        <v>サバゲ岩泉一ICONIC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848</v>
      </c>
      <c r="L163" s="1" t="s">
        <v>225</v>
      </c>
      <c r="M163">
        <v>43</v>
      </c>
      <c r="N163">
        <v>0</v>
      </c>
      <c r="O163">
        <v>53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33</v>
      </c>
      <c r="E164" t="s">
        <v>24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ユニフォーム金田一勇太郎ICONIC</v>
      </c>
    </row>
    <row r="165" spans="1:20" x14ac:dyDescent="0.35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390</v>
      </c>
      <c r="L165" s="1" t="s">
        <v>225</v>
      </c>
      <c r="M165">
        <v>43</v>
      </c>
      <c r="N165">
        <v>0</v>
      </c>
      <c r="O165">
        <v>53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s="1" t="s">
        <v>959</v>
      </c>
      <c r="D166" t="s">
        <v>33</v>
      </c>
      <c r="E166" s="1" t="s">
        <v>77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雪遊び金田一勇太郎ICONIC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34</v>
      </c>
      <c r="E167" t="s">
        <v>28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ユニフォーム京谷賢太郎ICONIC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180</v>
      </c>
      <c r="L168" s="1" t="s">
        <v>173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t="s">
        <v>206</v>
      </c>
      <c r="D169" t="s">
        <v>35</v>
      </c>
      <c r="E169" t="s">
        <v>23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702</v>
      </c>
      <c r="D170" t="s">
        <v>35</v>
      </c>
      <c r="E170" s="1" t="s">
        <v>90</v>
      </c>
      <c r="F170" t="s">
        <v>25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職業体験国見英ICONIC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s="1" t="s">
        <v>1122</v>
      </c>
      <c r="D171" s="1" t="s">
        <v>35</v>
      </c>
      <c r="E171" s="1" t="s">
        <v>77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路地裏国見英ICONIC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2</v>
      </c>
      <c r="C172" s="1" t="s">
        <v>1122</v>
      </c>
      <c r="D172" s="1" t="s">
        <v>35</v>
      </c>
      <c r="E172" s="1" t="s">
        <v>77</v>
      </c>
      <c r="F172" s="1" t="s">
        <v>25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919</v>
      </c>
      <c r="L172" s="1" t="s">
        <v>225</v>
      </c>
      <c r="M172">
        <v>41</v>
      </c>
      <c r="N172">
        <v>0</v>
      </c>
      <c r="O172">
        <v>51</v>
      </c>
      <c r="P172">
        <v>0</v>
      </c>
      <c r="R172" s="1" t="s">
        <v>287</v>
      </c>
      <c r="S172">
        <v>2</v>
      </c>
      <c r="T172" t="str">
        <f>Special[[#This Row],[服装]]&amp;Special[[#This Row],[名前]]&amp;Special[[#This Row],[レアリティ]]</f>
        <v>路地裏国見英ICONIC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t="s">
        <v>206</v>
      </c>
      <c r="D173" t="s">
        <v>36</v>
      </c>
      <c r="E173" t="s">
        <v>23</v>
      </c>
      <c r="F173" t="s">
        <v>21</v>
      </c>
      <c r="G173" t="s">
        <v>20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ユニフォーム渡親治ICONIC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t="s">
        <v>206</v>
      </c>
      <c r="D175" t="s">
        <v>37</v>
      </c>
      <c r="E175" t="s">
        <v>23</v>
      </c>
      <c r="F175" t="s">
        <v>26</v>
      </c>
      <c r="G175" t="s">
        <v>20</v>
      </c>
      <c r="H175" t="s">
        <v>71</v>
      </c>
      <c r="I175">
        <v>1</v>
      </c>
      <c r="J175" t="s">
        <v>262</v>
      </c>
      <c r="K175" s="1" t="s">
        <v>180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3</v>
      </c>
      <c r="C176" t="s">
        <v>206</v>
      </c>
      <c r="D176" t="s">
        <v>37</v>
      </c>
      <c r="E176" t="s">
        <v>23</v>
      </c>
      <c r="F176" t="s">
        <v>26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ユニフォーム松川一静ICONIC</v>
      </c>
    </row>
    <row r="177" spans="1:20" x14ac:dyDescent="0.35">
      <c r="A177">
        <f>VLOOKUP(Special[[#This Row],[No用]],SetNo[[No.用]:[vlookup 用]],2,FALSE)</f>
        <v>97</v>
      </c>
      <c r="B177">
        <f>IF(ROW()=2,1,IF(A176&lt;&gt;Special[[#This Row],[No]],1,B176+1))</f>
        <v>1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2</v>
      </c>
      <c r="C178" s="1" t="s">
        <v>908</v>
      </c>
      <c r="D178" t="s">
        <v>37</v>
      </c>
      <c r="E178" s="1" t="s">
        <v>90</v>
      </c>
      <c r="F178" t="s">
        <v>82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アート松川一静ICONIC</v>
      </c>
    </row>
    <row r="179" spans="1:20" x14ac:dyDescent="0.35">
      <c r="A179">
        <f>VLOOKUP(Special[[#This Row],[No用]],SetNo[[No.用]:[vlookup 用]],2,FALSE)</f>
        <v>97</v>
      </c>
      <c r="B179">
        <f>IF(ROW()=2,1,IF(A178&lt;&gt;Special[[#This Row],[No]],1,B178+1))</f>
        <v>3</v>
      </c>
      <c r="C179" s="1" t="s">
        <v>908</v>
      </c>
      <c r="D179" t="s">
        <v>37</v>
      </c>
      <c r="E179" s="1" t="s">
        <v>90</v>
      </c>
      <c r="F179" t="s">
        <v>82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アート松川一静ICONIC</v>
      </c>
    </row>
    <row r="180" spans="1:20" x14ac:dyDescent="0.35">
      <c r="A180">
        <f>VLOOKUP(Special[[#This Row],[No用]],SetNo[[No.用]:[vlookup 用]],2,FALSE)</f>
        <v>98</v>
      </c>
      <c r="B180">
        <f>IF(ROW()=2,1,IF(A179&lt;&gt;Special[[#This Row],[No]],1,B179+1))</f>
        <v>1</v>
      </c>
      <c r="C180" t="s">
        <v>206</v>
      </c>
      <c r="D180" t="s">
        <v>38</v>
      </c>
      <c r="E180" t="s">
        <v>23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ユニフォーム花巻貴大ICONIC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1</v>
      </c>
      <c r="C181" s="1" t="s">
        <v>908</v>
      </c>
      <c r="D181" t="s">
        <v>38</v>
      </c>
      <c r="E181" s="1" t="s">
        <v>90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アート花巻貴大ICONIC</v>
      </c>
    </row>
    <row r="182" spans="1:20" x14ac:dyDescent="0.35">
      <c r="A182">
        <f>VLOOKUP(Special[[#This Row],[No用]],SetNo[[No.用]:[vlookup 用]],2,FALSE)</f>
        <v>100</v>
      </c>
      <c r="B182">
        <f>IF(ROW()=2,1,IF(A181&lt;&gt;Special[[#This Row],[No]],1,B181+1))</f>
        <v>1</v>
      </c>
      <c r="C182" s="1" t="s">
        <v>1165</v>
      </c>
      <c r="D182" s="1" t="s">
        <v>38</v>
      </c>
      <c r="E182" s="1" t="s">
        <v>77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バーガー花巻貴大ICONIC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2</v>
      </c>
      <c r="C183" s="1" t="s">
        <v>1165</v>
      </c>
      <c r="D183" s="1" t="s">
        <v>38</v>
      </c>
      <c r="E183" s="1" t="s">
        <v>77</v>
      </c>
      <c r="F183" s="1" t="s">
        <v>25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180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バーガー花巻貴大ICONIC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108</v>
      </c>
      <c r="D184" s="1" t="s">
        <v>1042</v>
      </c>
      <c r="E184" s="1" t="s">
        <v>73</v>
      </c>
      <c r="F184" s="1" t="s">
        <v>74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ユニフォーム矢巾秀ICONIC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t="s">
        <v>206</v>
      </c>
      <c r="D185" t="s">
        <v>55</v>
      </c>
      <c r="E185" t="s">
        <v>23</v>
      </c>
      <c r="F185" t="s">
        <v>25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ユニフォーム駒木輝ICONIC</v>
      </c>
    </row>
    <row r="186" spans="1:20" x14ac:dyDescent="0.35">
      <c r="A186">
        <f>VLOOKUP(Special[[#This Row],[No用]],SetNo[[No.用]:[vlookup 用]],2,FALSE)</f>
        <v>103</v>
      </c>
      <c r="B186">
        <f>IF(ROW()=2,1,IF(A185&lt;&gt;Special[[#This Row],[No]],1,B185+1))</f>
        <v>1</v>
      </c>
      <c r="C186" t="s">
        <v>206</v>
      </c>
      <c r="D186" t="s">
        <v>57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ユニフォーム茶屋和馬ICONIC</v>
      </c>
    </row>
    <row r="187" spans="1:20" x14ac:dyDescent="0.35">
      <c r="A187">
        <f>VLOOKUP(Special[[#This Row],[No用]],SetNo[[No.用]:[vlookup 用]],2,FALSE)</f>
        <v>104</v>
      </c>
      <c r="B187">
        <f>IF(ROW()=2,1,IF(A186&lt;&gt;Special[[#This Row],[No]],1,B186+1))</f>
        <v>1</v>
      </c>
      <c r="C187" t="s">
        <v>206</v>
      </c>
      <c r="D187" t="s">
        <v>58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ユニフォーム玉川弘樹ICONIC</v>
      </c>
    </row>
    <row r="188" spans="1:20" x14ac:dyDescent="0.35">
      <c r="A188">
        <f>VLOOKUP(Special[[#This Row],[No用]],SetNo[[No.用]:[vlookup 用]],2,FALSE)</f>
        <v>105</v>
      </c>
      <c r="B188">
        <f>IF(ROW()=2,1,IF(A187&lt;&gt;Special[[#This Row],[No]],1,B187+1))</f>
        <v>1</v>
      </c>
      <c r="C188" t="s">
        <v>206</v>
      </c>
      <c r="D188" t="s">
        <v>59</v>
      </c>
      <c r="E188" t="s">
        <v>24</v>
      </c>
      <c r="F188" t="s">
        <v>21</v>
      </c>
      <c r="G188" t="s">
        <v>56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38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ユニフォーム桜井大河ICONIC</v>
      </c>
    </row>
    <row r="189" spans="1:20" x14ac:dyDescent="0.35">
      <c r="A189">
        <f>VLOOKUP(Special[[#This Row],[No用]],SetNo[[No.用]:[vlookup 用]],2,FALSE)</f>
        <v>106</v>
      </c>
      <c r="B189">
        <f>IF(ROW()=2,1,IF(A188&lt;&gt;Special[[#This Row],[No]],1,B188+1))</f>
        <v>1</v>
      </c>
      <c r="C189" t="s">
        <v>206</v>
      </c>
      <c r="D189" t="s">
        <v>60</v>
      </c>
      <c r="E189" t="s">
        <v>24</v>
      </c>
      <c r="F189" t="s">
        <v>31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ユニフォーム芳賀良治ICONIC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2</v>
      </c>
      <c r="C190" t="s">
        <v>206</v>
      </c>
      <c r="D190" t="s">
        <v>60</v>
      </c>
      <c r="E190" t="s">
        <v>24</v>
      </c>
      <c r="F190" t="s">
        <v>31</v>
      </c>
      <c r="G190" t="s">
        <v>56</v>
      </c>
      <c r="H190" t="s">
        <v>71</v>
      </c>
      <c r="I190">
        <v>1</v>
      </c>
      <c r="J190" t="s">
        <v>262</v>
      </c>
      <c r="K190" s="1" t="s">
        <v>282</v>
      </c>
      <c r="L190" s="1" t="s">
        <v>173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ユニフォーム芳賀良治ICONIC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61</v>
      </c>
      <c r="E191" t="s">
        <v>24</v>
      </c>
      <c r="F191" t="s">
        <v>26</v>
      </c>
      <c r="G191" t="s">
        <v>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ユニフォーム渋谷陸斗ICONIC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62</v>
      </c>
      <c r="E192" t="s">
        <v>24</v>
      </c>
      <c r="F192" t="s">
        <v>25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ユニフォーム池尻隼人ICONIC</v>
      </c>
    </row>
    <row r="193" spans="1:20" x14ac:dyDescent="0.35">
      <c r="A193">
        <f>VLOOKUP(Special[[#This Row],[No用]],SetNo[[No.用]:[vlookup 用]],2,FALSE)</f>
        <v>109</v>
      </c>
      <c r="B193">
        <f>IF(ROW()=2,1,IF(A192&lt;&gt;Special[[#This Row],[No]],1,B192+1))</f>
        <v>1</v>
      </c>
      <c r="C193" t="s">
        <v>206</v>
      </c>
      <c r="D193" t="s">
        <v>63</v>
      </c>
      <c r="E193" t="s">
        <v>28</v>
      </c>
      <c r="F193" t="s">
        <v>25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ユニフォーム十和田良樹ICONIC</v>
      </c>
    </row>
    <row r="194" spans="1:20" x14ac:dyDescent="0.35">
      <c r="A194">
        <f>VLOOKUP(Special[[#This Row],[No用]],SetNo[[No.用]:[vlookup 用]],2,FALSE)</f>
        <v>110</v>
      </c>
      <c r="B194">
        <f>IF(ROW()=2,1,IF(A193&lt;&gt;Special[[#This Row],[No]],1,B193+1))</f>
        <v>1</v>
      </c>
      <c r="C194" t="s">
        <v>206</v>
      </c>
      <c r="D194" t="s">
        <v>65</v>
      </c>
      <c r="E194" t="s">
        <v>28</v>
      </c>
      <c r="F194" t="s">
        <v>26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ユニフォーム森岳歩ICONIC</v>
      </c>
    </row>
    <row r="195" spans="1:20" x14ac:dyDescent="0.35">
      <c r="A195">
        <f>VLOOKUP(Special[[#This Row],[No用]],SetNo[[No.用]:[vlookup 用]],2,FALSE)</f>
        <v>111</v>
      </c>
      <c r="B195">
        <f>IF(ROW()=2,1,IF(A194&lt;&gt;Special[[#This Row],[No]],1,B194+1))</f>
        <v>1</v>
      </c>
      <c r="C195" t="s">
        <v>206</v>
      </c>
      <c r="D195" t="s">
        <v>66</v>
      </c>
      <c r="E195" t="s">
        <v>24</v>
      </c>
      <c r="F195" t="s">
        <v>25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ユニフォーム唐松拓巳ICONIC</v>
      </c>
    </row>
    <row r="196" spans="1:20" x14ac:dyDescent="0.35">
      <c r="A196">
        <f>VLOOKUP(Special[[#This Row],[No用]],SetNo[[No.用]:[vlookup 用]],2,FALSE)</f>
        <v>112</v>
      </c>
      <c r="B196">
        <f>IF(ROW()=2,1,IF(A195&lt;&gt;Special[[#This Row],[No]],1,B195+1))</f>
        <v>1</v>
      </c>
      <c r="C196" t="s">
        <v>206</v>
      </c>
      <c r="D196" t="s">
        <v>67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ユニフォーム田沢裕樹ICONIC</v>
      </c>
    </row>
    <row r="197" spans="1:20" x14ac:dyDescent="0.35">
      <c r="A197">
        <f>VLOOKUP(Special[[#This Row],[No用]],SetNo[[No.用]:[vlookup 用]],2,FALSE)</f>
        <v>113</v>
      </c>
      <c r="B197">
        <f>IF(ROW()=2,1,IF(A196&lt;&gt;Special[[#This Row],[No]],1,B196+1))</f>
        <v>1</v>
      </c>
      <c r="C197" t="s">
        <v>206</v>
      </c>
      <c r="D197" t="s">
        <v>68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ユニフォーム子安颯真ICONIC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1</v>
      </c>
      <c r="C198" t="s">
        <v>206</v>
      </c>
      <c r="D198" t="s">
        <v>69</v>
      </c>
      <c r="E198" t="s">
        <v>28</v>
      </c>
      <c r="F198" t="s">
        <v>21</v>
      </c>
      <c r="G198" t="s">
        <v>64</v>
      </c>
      <c r="H198" t="s">
        <v>71</v>
      </c>
      <c r="I198">
        <v>1</v>
      </c>
      <c r="J198" t="s">
        <v>262</v>
      </c>
      <c r="K198" s="1" t="s">
        <v>196</v>
      </c>
      <c r="L198" s="1" t="s">
        <v>173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ユニフォーム横手駿ICONIC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t="s">
        <v>206</v>
      </c>
      <c r="D199" t="s">
        <v>70</v>
      </c>
      <c r="E199" t="s">
        <v>28</v>
      </c>
      <c r="F199" t="s">
        <v>31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ユニフォーム夏瀬伊吹ICONIC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t="s">
        <v>206</v>
      </c>
      <c r="D200" t="s">
        <v>70</v>
      </c>
      <c r="E200" t="s">
        <v>28</v>
      </c>
      <c r="F200" t="s">
        <v>31</v>
      </c>
      <c r="G200" t="s">
        <v>64</v>
      </c>
      <c r="H200" t="s">
        <v>71</v>
      </c>
      <c r="I200">
        <v>1</v>
      </c>
      <c r="J200" t="s">
        <v>262</v>
      </c>
      <c r="K200" s="1" t="s">
        <v>277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Special[[#This Row],[服装]]&amp;Special[[#This Row],[名前]]&amp;Special[[#This Row],[レアリティ]]</f>
        <v>ユニフォーム夏瀬伊吹ICONIC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s="1" t="s">
        <v>108</v>
      </c>
      <c r="D201" s="1" t="s">
        <v>1159</v>
      </c>
      <c r="E201" s="1" t="s">
        <v>28</v>
      </c>
      <c r="F201" s="1" t="s">
        <v>31</v>
      </c>
      <c r="G201" s="1" t="s">
        <v>64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ユニフォーム秋宮昇ICONIC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s="1" t="s">
        <v>108</v>
      </c>
      <c r="D202" s="1" t="s">
        <v>1159</v>
      </c>
      <c r="E202" s="1" t="s">
        <v>28</v>
      </c>
      <c r="F202" s="1" t="s">
        <v>31</v>
      </c>
      <c r="G202" s="1" t="s">
        <v>64</v>
      </c>
      <c r="H202" s="1" t="s">
        <v>71</v>
      </c>
      <c r="I202">
        <v>1</v>
      </c>
      <c r="J202" t="s">
        <v>262</v>
      </c>
      <c r="K202" s="1" t="s">
        <v>700</v>
      </c>
      <c r="L202" s="1" t="s">
        <v>225</v>
      </c>
      <c r="M202">
        <v>43</v>
      </c>
      <c r="N202">
        <v>0</v>
      </c>
      <c r="O202">
        <v>53</v>
      </c>
      <c r="P202">
        <v>0</v>
      </c>
      <c r="T202" t="str">
        <f>Special[[#This Row],[服装]]&amp;Special[[#This Row],[名前]]&amp;Special[[#This Row],[レアリティ]]</f>
        <v>ユニフォーム秋宮昇ICONIC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t="s">
        <v>206</v>
      </c>
      <c r="D203" t="s">
        <v>72</v>
      </c>
      <c r="E203" t="s">
        <v>23</v>
      </c>
      <c r="F203" t="s">
        <v>31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2</v>
      </c>
      <c r="C204" t="s">
        <v>206</v>
      </c>
      <c r="D204" t="s">
        <v>72</v>
      </c>
      <c r="E204" t="s">
        <v>23</v>
      </c>
      <c r="F204" t="s">
        <v>31</v>
      </c>
      <c r="G204" t="s">
        <v>75</v>
      </c>
      <c r="H204" t="s">
        <v>71</v>
      </c>
      <c r="I204">
        <v>1</v>
      </c>
      <c r="J204" t="s">
        <v>262</v>
      </c>
      <c r="K204" s="1" t="s">
        <v>277</v>
      </c>
      <c r="L204" s="1" t="s">
        <v>225</v>
      </c>
      <c r="M204">
        <v>49</v>
      </c>
      <c r="N204">
        <v>0</v>
      </c>
      <c r="O204">
        <v>59</v>
      </c>
      <c r="P204">
        <v>0</v>
      </c>
      <c r="T204" t="str">
        <f>Special[[#This Row],[服装]]&amp;Special[[#This Row],[名前]]&amp;Special[[#This Row],[レアリティ]]</f>
        <v>ユニフォーム古牧譲ICONIC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1</v>
      </c>
      <c r="C205" s="1" t="s">
        <v>959</v>
      </c>
      <c r="D205" t="s">
        <v>72</v>
      </c>
      <c r="E205" s="1" t="s">
        <v>90</v>
      </c>
      <c r="F205" t="s">
        <v>74</v>
      </c>
      <c r="G205" t="s">
        <v>75</v>
      </c>
      <c r="H205" t="s">
        <v>71</v>
      </c>
      <c r="I205">
        <v>1</v>
      </c>
      <c r="J205" t="s">
        <v>262</v>
      </c>
      <c r="K205" s="1" t="s">
        <v>281</v>
      </c>
      <c r="L205" s="1" t="s">
        <v>969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雪遊び古牧譲ICONIC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2</v>
      </c>
      <c r="C206" s="1" t="s">
        <v>959</v>
      </c>
      <c r="D206" t="s">
        <v>72</v>
      </c>
      <c r="E206" s="1" t="s">
        <v>90</v>
      </c>
      <c r="F206" t="s">
        <v>74</v>
      </c>
      <c r="G206" t="s">
        <v>75</v>
      </c>
      <c r="H206" t="s">
        <v>71</v>
      </c>
      <c r="I206">
        <v>1</v>
      </c>
      <c r="J206" t="s">
        <v>262</v>
      </c>
      <c r="K206" s="1" t="s">
        <v>967</v>
      </c>
      <c r="L206" s="1" t="s">
        <v>970</v>
      </c>
      <c r="M206">
        <v>46</v>
      </c>
      <c r="N206">
        <v>0</v>
      </c>
      <c r="O206">
        <v>56</v>
      </c>
      <c r="P206">
        <v>0</v>
      </c>
      <c r="T206" t="str">
        <f>Special[[#This Row],[服装]]&amp;Special[[#This Row],[名前]]&amp;Special[[#This Row],[レアリティ]]</f>
        <v>雪遊び古牧譲ICONIC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3</v>
      </c>
      <c r="C207" s="1" t="s">
        <v>959</v>
      </c>
      <c r="D207" t="s">
        <v>72</v>
      </c>
      <c r="E207" s="1" t="s">
        <v>90</v>
      </c>
      <c r="F207" t="s">
        <v>74</v>
      </c>
      <c r="G207" t="s">
        <v>75</v>
      </c>
      <c r="H207" t="s">
        <v>71</v>
      </c>
      <c r="I207">
        <v>1</v>
      </c>
      <c r="J207" t="s">
        <v>262</v>
      </c>
      <c r="K207" s="1" t="s">
        <v>968</v>
      </c>
      <c r="L207" s="1" t="s">
        <v>225</v>
      </c>
      <c r="M207">
        <v>46</v>
      </c>
      <c r="N207">
        <v>0</v>
      </c>
      <c r="O207">
        <v>56</v>
      </c>
      <c r="P207">
        <v>0</v>
      </c>
      <c r="T207" t="str">
        <f>Special[[#This Row],[服装]]&amp;Special[[#This Row],[名前]]&amp;Special[[#This Row],[レアリティ]]</f>
        <v>雪遊び古牧譲ICONIC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76</v>
      </c>
      <c r="E208" t="s">
        <v>28</v>
      </c>
      <c r="F208" t="s">
        <v>25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ユニフォーム浅虫快人ICONIC</v>
      </c>
    </row>
    <row r="209" spans="1:20" x14ac:dyDescent="0.35">
      <c r="A209">
        <f>VLOOKUP(Special[[#This Row],[No用]],SetNo[[No.用]:[vlookup 用]],2,FALSE)</f>
        <v>119</v>
      </c>
      <c r="B209">
        <f>IF(ROW()=2,1,IF(A208&lt;&gt;Special[[#This Row],[No]],1,B208+1))</f>
        <v>2</v>
      </c>
      <c r="C209" t="s">
        <v>206</v>
      </c>
      <c r="D209" t="s">
        <v>76</v>
      </c>
      <c r="E209" t="s">
        <v>28</v>
      </c>
      <c r="F209" t="s">
        <v>25</v>
      </c>
      <c r="G209" t="s">
        <v>75</v>
      </c>
      <c r="H209" t="s">
        <v>71</v>
      </c>
      <c r="I209">
        <v>1</v>
      </c>
      <c r="J209" t="s">
        <v>262</v>
      </c>
      <c r="K209" s="1" t="s">
        <v>282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ユニフォーム浅虫快人ICONIC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1</v>
      </c>
      <c r="C210" t="s">
        <v>206</v>
      </c>
      <c r="D210" t="s">
        <v>79</v>
      </c>
      <c r="E210" t="s">
        <v>23</v>
      </c>
      <c r="F210" t="s">
        <v>21</v>
      </c>
      <c r="G210" t="s">
        <v>75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ユニフォーム南田大志ICONIC</v>
      </c>
    </row>
    <row r="211" spans="1:20" x14ac:dyDescent="0.35">
      <c r="A211">
        <f>VLOOKUP(Special[[#This Row],[No用]],SetNo[[No.用]:[vlookup 用]],2,FALSE)</f>
        <v>120</v>
      </c>
      <c r="B211">
        <f>IF(ROW()=2,1,IF(A210&lt;&gt;Special[[#This Row],[No]],1,B210+1))</f>
        <v>2</v>
      </c>
      <c r="C211" t="s">
        <v>206</v>
      </c>
      <c r="D211" t="s">
        <v>79</v>
      </c>
      <c r="E211" t="s">
        <v>23</v>
      </c>
      <c r="F211" t="s">
        <v>21</v>
      </c>
      <c r="G211" t="s">
        <v>75</v>
      </c>
      <c r="H211" t="s">
        <v>71</v>
      </c>
      <c r="I211">
        <v>1</v>
      </c>
      <c r="J211" t="s">
        <v>262</v>
      </c>
      <c r="K211" s="1" t="s">
        <v>193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Special[[#This Row],[服装]]&amp;Special[[#This Row],[名前]]&amp;Special[[#This Row],[レアリティ]]</f>
        <v>ユニフォーム南田大志ICONIC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1</v>
      </c>
      <c r="C212" t="s">
        <v>206</v>
      </c>
      <c r="D212" t="s">
        <v>81</v>
      </c>
      <c r="E212" t="s">
        <v>23</v>
      </c>
      <c r="F212" t="s">
        <v>26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ユニフォーム湯川良明ICONIC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83</v>
      </c>
      <c r="E213" t="s">
        <v>23</v>
      </c>
      <c r="F213" t="s">
        <v>25</v>
      </c>
      <c r="G213" t="s">
        <v>75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ユニフォーム稲垣功ICONIC</v>
      </c>
    </row>
    <row r="214" spans="1:20" x14ac:dyDescent="0.35">
      <c r="A214">
        <f>VLOOKUP(Special[[#This Row],[No用]],SetNo[[No.用]:[vlookup 用]],2,FALSE)</f>
        <v>123</v>
      </c>
      <c r="B214">
        <f>IF(ROW()=2,1,IF(A213&lt;&gt;Special[[#This Row],[No]],1,B213+1))</f>
        <v>1</v>
      </c>
      <c r="C214" t="s">
        <v>206</v>
      </c>
      <c r="D214" t="s">
        <v>86</v>
      </c>
      <c r="E214" t="s">
        <v>23</v>
      </c>
      <c r="F214" t="s">
        <v>26</v>
      </c>
      <c r="G214" t="s">
        <v>75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ユニフォーム馬門英治ICONIC</v>
      </c>
    </row>
    <row r="215" spans="1:20" x14ac:dyDescent="0.35">
      <c r="A215">
        <f>VLOOKUP(Special[[#This Row],[No用]],SetNo[[No.用]:[vlookup 用]],2,FALSE)</f>
        <v>124</v>
      </c>
      <c r="B215">
        <f>IF(ROW()=2,1,IF(A214&lt;&gt;Special[[#This Row],[No]],1,B214+1))</f>
        <v>1</v>
      </c>
      <c r="C215" t="s">
        <v>206</v>
      </c>
      <c r="D215" t="s">
        <v>88</v>
      </c>
      <c r="E215" t="s">
        <v>23</v>
      </c>
      <c r="F215" t="s">
        <v>25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ユニフォーム百沢雄大ICONIC</v>
      </c>
    </row>
    <row r="216" spans="1:20" x14ac:dyDescent="0.35">
      <c r="A216">
        <f>VLOOKUP(Special[[#This Row],[No用]],SetNo[[No.用]:[vlookup 用]],2,FALSE)</f>
        <v>125</v>
      </c>
      <c r="B216">
        <f>IF(ROW()=2,1,IF(A215&lt;&gt;Special[[#This Row],[No]],1,B215+1))</f>
        <v>1</v>
      </c>
      <c r="C216" s="1" t="s">
        <v>702</v>
      </c>
      <c r="D216" t="s">
        <v>88</v>
      </c>
      <c r="E216" s="1" t="s">
        <v>90</v>
      </c>
      <c r="F216" t="s">
        <v>78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職業体験百沢雄大ICONIC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1</v>
      </c>
      <c r="C217" t="s">
        <v>108</v>
      </c>
      <c r="D217" t="s">
        <v>89</v>
      </c>
      <c r="E217" t="s">
        <v>90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ユニフォーム照島游児ICONIC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2</v>
      </c>
      <c r="C218" t="s">
        <v>108</v>
      </c>
      <c r="D218" t="s">
        <v>89</v>
      </c>
      <c r="E218" t="s">
        <v>90</v>
      </c>
      <c r="F218" t="s">
        <v>78</v>
      </c>
      <c r="G218" t="s">
        <v>91</v>
      </c>
      <c r="H218" t="s">
        <v>71</v>
      </c>
      <c r="I218">
        <v>1</v>
      </c>
      <c r="J218" t="s">
        <v>262</v>
      </c>
      <c r="K218" s="1" t="s">
        <v>390</v>
      </c>
      <c r="L218" s="1" t="s">
        <v>225</v>
      </c>
      <c r="M218">
        <v>51</v>
      </c>
      <c r="N218">
        <v>0</v>
      </c>
      <c r="O218">
        <v>61</v>
      </c>
      <c r="P218">
        <v>0</v>
      </c>
      <c r="T218" t="str">
        <f>Special[[#This Row],[服装]]&amp;Special[[#This Row],[名前]]&amp;Special[[#This Row],[レアリティ]]</f>
        <v>ユニフォーム照島游児ICONIC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t="s">
        <v>149</v>
      </c>
      <c r="D219" t="s">
        <v>89</v>
      </c>
      <c r="E219" t="s">
        <v>77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制服照島游児ICONIC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s="1" t="s">
        <v>959</v>
      </c>
      <c r="D220" t="s">
        <v>89</v>
      </c>
      <c r="E220" s="1" t="s">
        <v>960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雪遊び照島游児ICONIC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s="1" t="s">
        <v>959</v>
      </c>
      <c r="D221" t="s">
        <v>89</v>
      </c>
      <c r="E221" s="1" t="s">
        <v>960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961</v>
      </c>
      <c r="L221" s="1" t="s">
        <v>225</v>
      </c>
      <c r="M221">
        <v>48</v>
      </c>
      <c r="N221">
        <v>0</v>
      </c>
      <c r="O221">
        <v>58</v>
      </c>
      <c r="P221">
        <v>0</v>
      </c>
      <c r="R221" s="1" t="s">
        <v>287</v>
      </c>
      <c r="S221">
        <v>2</v>
      </c>
      <c r="T221" t="str">
        <f>Special[[#This Row],[服装]]&amp;Special[[#This Row],[名前]]&amp;Special[[#This Row],[レアリティ]]</f>
        <v>雪遊び照島游児ICONIC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108</v>
      </c>
      <c r="D222" t="s">
        <v>92</v>
      </c>
      <c r="E222" t="s">
        <v>90</v>
      </c>
      <c r="F222" t="s">
        <v>82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ユニフォーム母畑和馬ICONIC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t="s">
        <v>108</v>
      </c>
      <c r="D223" t="s">
        <v>93</v>
      </c>
      <c r="E223" t="s">
        <v>73</v>
      </c>
      <c r="F223" t="s">
        <v>74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ユニフォーム二岐丈晴ICONIC</v>
      </c>
    </row>
    <row r="224" spans="1:20" x14ac:dyDescent="0.35">
      <c r="A224">
        <f>VLOOKUP(Special[[#This Row],[No用]],SetNo[[No.用]:[vlookup 用]],2,FALSE)</f>
        <v>131</v>
      </c>
      <c r="B224">
        <f>IF(ROW()=2,1,IF(A223&lt;&gt;Special[[#This Row],[No]],1,B223+1))</f>
        <v>1</v>
      </c>
      <c r="C224" t="s">
        <v>149</v>
      </c>
      <c r="D224" t="s">
        <v>93</v>
      </c>
      <c r="E224" t="s">
        <v>90</v>
      </c>
      <c r="F224" t="s">
        <v>74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制服二岐丈晴ICONIC</v>
      </c>
    </row>
    <row r="225" spans="1:20" x14ac:dyDescent="0.35">
      <c r="A225">
        <f>VLOOKUP(Special[[#This Row],[No用]],SetNo[[No.用]:[vlookup 用]],2,FALSE)</f>
        <v>132</v>
      </c>
      <c r="B225">
        <f>IF(ROW()=2,1,IF(A224&lt;&gt;Special[[#This Row],[No]],1,B224+1))</f>
        <v>1</v>
      </c>
      <c r="C225" t="s">
        <v>108</v>
      </c>
      <c r="D225" t="s">
        <v>99</v>
      </c>
      <c r="E225" t="s">
        <v>73</v>
      </c>
      <c r="F225" t="s">
        <v>78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ユニフォーム沼尻凛太郎ICONIC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2</v>
      </c>
      <c r="C226" t="s">
        <v>108</v>
      </c>
      <c r="D226" t="s">
        <v>99</v>
      </c>
      <c r="E226" t="s">
        <v>73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45</v>
      </c>
      <c r="N226">
        <v>0</v>
      </c>
      <c r="O226">
        <v>55</v>
      </c>
      <c r="P226">
        <v>0</v>
      </c>
      <c r="T226" t="str">
        <f>Special[[#This Row],[服装]]&amp;Special[[#This Row],[名前]]&amp;Special[[#This Row],[レアリティ]]</f>
        <v>ユニフォーム沼尻凛太郎ICONIC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108</v>
      </c>
      <c r="D227" t="s">
        <v>94</v>
      </c>
      <c r="E227" t="s">
        <v>90</v>
      </c>
      <c r="F227" t="s">
        <v>82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ユニフォーム飯坂信義ICONIC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95</v>
      </c>
      <c r="E228" t="s">
        <v>90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ユニフォーム東山勝道ICONIC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108</v>
      </c>
      <c r="D229" t="s">
        <v>96</v>
      </c>
      <c r="E229" t="s">
        <v>90</v>
      </c>
      <c r="F229" t="s">
        <v>80</v>
      </c>
      <c r="G229" t="s">
        <v>91</v>
      </c>
      <c r="H229" t="s">
        <v>71</v>
      </c>
      <c r="I229">
        <v>1</v>
      </c>
      <c r="J229" t="s">
        <v>262</v>
      </c>
      <c r="K229" s="1" t="s">
        <v>196</v>
      </c>
      <c r="L229" s="1" t="s">
        <v>173</v>
      </c>
      <c r="M229">
        <v>43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ユニフォーム土湯新ICONIC</v>
      </c>
    </row>
    <row r="230" spans="1:20" x14ac:dyDescent="0.35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569</v>
      </c>
      <c r="E230" t="s">
        <v>28</v>
      </c>
      <c r="F230" t="s">
        <v>25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ユニフォーム中島猛ICONIC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2</v>
      </c>
      <c r="C231" t="s">
        <v>206</v>
      </c>
      <c r="D231" t="s">
        <v>569</v>
      </c>
      <c r="E231" t="s">
        <v>28</v>
      </c>
      <c r="F231" t="s">
        <v>25</v>
      </c>
      <c r="G231" t="s">
        <v>156</v>
      </c>
      <c r="H231" t="s">
        <v>71</v>
      </c>
      <c r="I231">
        <v>1</v>
      </c>
      <c r="J231" t="s">
        <v>262</v>
      </c>
      <c r="K231" s="1" t="s">
        <v>180</v>
      </c>
      <c r="L231" s="1" t="s">
        <v>225</v>
      </c>
      <c r="M231">
        <v>48</v>
      </c>
      <c r="N231">
        <v>0</v>
      </c>
      <c r="O231">
        <v>58</v>
      </c>
      <c r="P231">
        <v>0</v>
      </c>
      <c r="T231" t="str">
        <f>Special[[#This Row],[服装]]&amp;Special[[#This Row],[名前]]&amp;Special[[#This Row],[レアリティ]]</f>
        <v>ユニフォーム中島猛ICONIC</v>
      </c>
    </row>
    <row r="232" spans="1:20" x14ac:dyDescent="0.35">
      <c r="A232">
        <f>VLOOKUP(Special[[#This Row],[No用]],SetNo[[No.用]:[vlookup 用]],2,FALSE)</f>
        <v>136</v>
      </c>
      <c r="B232">
        <f>IF(ROW()=2,1,IF(A231&lt;&gt;Special[[#This Row],[No]],1,B231+1))</f>
        <v>3</v>
      </c>
      <c r="C232" t="s">
        <v>206</v>
      </c>
      <c r="D232" t="s">
        <v>569</v>
      </c>
      <c r="E232" t="s">
        <v>28</v>
      </c>
      <c r="F232" t="s">
        <v>25</v>
      </c>
      <c r="G232" t="s">
        <v>156</v>
      </c>
      <c r="H232" t="s">
        <v>71</v>
      </c>
      <c r="I232">
        <v>1</v>
      </c>
      <c r="J232" t="s">
        <v>262</v>
      </c>
      <c r="K232" s="1" t="s">
        <v>277</v>
      </c>
      <c r="L232" s="1" t="s">
        <v>225</v>
      </c>
      <c r="M232">
        <v>48</v>
      </c>
      <c r="N232">
        <v>0</v>
      </c>
      <c r="O232">
        <v>58</v>
      </c>
      <c r="P232">
        <v>0</v>
      </c>
      <c r="T232" t="str">
        <f>Special[[#This Row],[服装]]&amp;Special[[#This Row],[名前]]&amp;Special[[#This Row],[レアリティ]]</f>
        <v>ユニフォーム中島猛ICONIC</v>
      </c>
    </row>
    <row r="233" spans="1:20" x14ac:dyDescent="0.35">
      <c r="A233">
        <f>VLOOKUP(Special[[#This Row],[No用]],SetNo[[No.用]:[vlookup 用]],2,FALSE)</f>
        <v>137</v>
      </c>
      <c r="B233">
        <f>IF(ROW()=2,1,IF(A232&lt;&gt;Special[[#This Row],[No]],1,B232+1))</f>
        <v>1</v>
      </c>
      <c r="C233" t="s">
        <v>206</v>
      </c>
      <c r="D233" t="s">
        <v>572</v>
      </c>
      <c r="E233" t="s">
        <v>24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ユニフォーム白石優希ICONIC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1</v>
      </c>
      <c r="C234" t="s">
        <v>206</v>
      </c>
      <c r="D234" t="s">
        <v>575</v>
      </c>
      <c r="E234" t="s">
        <v>28</v>
      </c>
      <c r="F234" t="s">
        <v>31</v>
      </c>
      <c r="G234" t="s">
        <v>156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ユニフォーム花山一雅ICONIC</v>
      </c>
    </row>
    <row r="235" spans="1:20" x14ac:dyDescent="0.35">
      <c r="A235">
        <f>VLOOKUP(Special[[#This Row],[No用]],SetNo[[No.用]:[vlookup 用]],2,FALSE)</f>
        <v>139</v>
      </c>
      <c r="B235">
        <f>IF(ROW()=2,1,IF(A234&lt;&gt;Special[[#This Row],[No]],1,B234+1))</f>
        <v>1</v>
      </c>
      <c r="C235" t="s">
        <v>206</v>
      </c>
      <c r="D235" t="s">
        <v>578</v>
      </c>
      <c r="E235" t="s">
        <v>28</v>
      </c>
      <c r="F235" t="s">
        <v>26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ユニフォーム鳴子哲平ICONIC</v>
      </c>
    </row>
    <row r="236" spans="1:20" x14ac:dyDescent="0.35">
      <c r="A236">
        <f>VLOOKUP(Special[[#This Row],[No用]],SetNo[[No.用]:[vlookup 用]],2,FALSE)</f>
        <v>140</v>
      </c>
      <c r="B236">
        <f>IF(ROW()=2,1,IF(A235&lt;&gt;Special[[#This Row],[No]],1,B235+1))</f>
        <v>1</v>
      </c>
      <c r="C236" t="s">
        <v>206</v>
      </c>
      <c r="D236" t="s">
        <v>581</v>
      </c>
      <c r="E236" t="s">
        <v>28</v>
      </c>
      <c r="F236" t="s">
        <v>21</v>
      </c>
      <c r="G236" t="s">
        <v>156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ユニフォーム秋保和光ICONIC</v>
      </c>
    </row>
    <row r="237" spans="1:20" x14ac:dyDescent="0.35">
      <c r="A237">
        <f>VLOOKUP(Special[[#This Row],[No用]],SetNo[[No.用]:[vlookup 用]],2,FALSE)</f>
        <v>141</v>
      </c>
      <c r="B237">
        <f>IF(ROW()=2,1,IF(A236&lt;&gt;Special[[#This Row],[No]],1,B236+1))</f>
        <v>1</v>
      </c>
      <c r="C237" t="s">
        <v>206</v>
      </c>
      <c r="D237" t="s">
        <v>584</v>
      </c>
      <c r="E237" t="s">
        <v>28</v>
      </c>
      <c r="F237" t="s">
        <v>26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ユニフォーム松島剛ICONIC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t="s">
        <v>206</v>
      </c>
      <c r="D238" t="s">
        <v>587</v>
      </c>
      <c r="E238" t="s">
        <v>28</v>
      </c>
      <c r="F238" t="s">
        <v>25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ユニフォーム川渡瞬己ICONIC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2</v>
      </c>
      <c r="C239" t="s">
        <v>206</v>
      </c>
      <c r="D239" t="s">
        <v>587</v>
      </c>
      <c r="E239" t="s">
        <v>28</v>
      </c>
      <c r="F239" t="s">
        <v>25</v>
      </c>
      <c r="G239" t="s">
        <v>156</v>
      </c>
      <c r="H239" t="s">
        <v>71</v>
      </c>
      <c r="I239">
        <v>1</v>
      </c>
      <c r="J239" t="s">
        <v>262</v>
      </c>
      <c r="K239" s="1" t="s">
        <v>390</v>
      </c>
      <c r="L239" s="1" t="s">
        <v>225</v>
      </c>
      <c r="M239">
        <v>47</v>
      </c>
      <c r="N239">
        <v>0</v>
      </c>
      <c r="O239">
        <v>57</v>
      </c>
      <c r="P239">
        <v>0</v>
      </c>
      <c r="T239" t="str">
        <f>Special[[#This Row],[服装]]&amp;Special[[#This Row],[名前]]&amp;Special[[#This Row],[レアリティ]]</f>
        <v>ユニフォーム川渡瞬己ICONIC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108</v>
      </c>
      <c r="D240" t="s">
        <v>109</v>
      </c>
      <c r="E240" t="s">
        <v>73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116</v>
      </c>
      <c r="D241" t="s">
        <v>109</v>
      </c>
      <c r="E241" t="s">
        <v>90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水着牛島若利ICONIC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116</v>
      </c>
      <c r="D242" t="s">
        <v>109</v>
      </c>
      <c r="E242" t="s">
        <v>90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274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水着牛島若利ICONIC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s="1" t="s">
        <v>935</v>
      </c>
      <c r="D243" t="s">
        <v>109</v>
      </c>
      <c r="E243" s="1" t="s">
        <v>77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新年牛島若利ICONIC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s="1" t="s">
        <v>935</v>
      </c>
      <c r="D244" t="s">
        <v>109</v>
      </c>
      <c r="E244" s="1" t="s">
        <v>77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945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287</v>
      </c>
      <c r="S244">
        <v>2</v>
      </c>
      <c r="T244" t="str">
        <f>Special[[#This Row],[服装]]&amp;Special[[#This Row],[名前]]&amp;Special[[#This Row],[レアリティ]]</f>
        <v>新年牛島若利ICONIC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108</v>
      </c>
      <c r="D245" t="s">
        <v>110</v>
      </c>
      <c r="E245" t="s">
        <v>73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ユニフォーム天童覚ICONIC</v>
      </c>
    </row>
    <row r="246" spans="1:20" x14ac:dyDescent="0.35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t="s">
        <v>108</v>
      </c>
      <c r="D246" t="s">
        <v>110</v>
      </c>
      <c r="E246" t="s">
        <v>73</v>
      </c>
      <c r="F246" t="s">
        <v>82</v>
      </c>
      <c r="G246" t="s">
        <v>118</v>
      </c>
      <c r="H246" t="s">
        <v>71</v>
      </c>
      <c r="I246">
        <v>1</v>
      </c>
      <c r="J246" t="s">
        <v>262</v>
      </c>
      <c r="K246" s="1" t="s">
        <v>390</v>
      </c>
      <c r="L246" s="1" t="s">
        <v>225</v>
      </c>
      <c r="M246">
        <v>48</v>
      </c>
      <c r="N246">
        <v>0</v>
      </c>
      <c r="O246">
        <v>58</v>
      </c>
      <c r="P246">
        <v>0</v>
      </c>
      <c r="T246" t="str">
        <f>Special[[#This Row],[服装]]&amp;Special[[#This Row],[名前]]&amp;Special[[#This Row],[レアリティ]]</f>
        <v>ユニフォーム天童覚ICONIC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116</v>
      </c>
      <c r="D247" t="s">
        <v>110</v>
      </c>
      <c r="E247" t="s">
        <v>90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水着天童覚ICONIC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895</v>
      </c>
      <c r="D248" t="s">
        <v>110</v>
      </c>
      <c r="E248" s="1" t="s">
        <v>77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895</v>
      </c>
      <c r="D249" t="s">
        <v>110</v>
      </c>
      <c r="E249" s="1" t="s">
        <v>77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950</v>
      </c>
      <c r="L249" s="1" t="s">
        <v>225</v>
      </c>
      <c r="M249">
        <v>48</v>
      </c>
      <c r="N249">
        <v>0</v>
      </c>
      <c r="O249">
        <v>58</v>
      </c>
      <c r="P249">
        <v>0</v>
      </c>
      <c r="R249" s="1"/>
      <c r="T249" t="str">
        <f>Special[[#This Row],[服装]]&amp;Special[[#This Row],[名前]]&amp;Special[[#This Row],[レアリティ]]</f>
        <v>文化祭天童覚ICONIC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111</v>
      </c>
      <c r="E250" t="s">
        <v>77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ユニフォーム五色工ICONIC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t="s">
        <v>108</v>
      </c>
      <c r="D251" t="s">
        <v>111</v>
      </c>
      <c r="E251" t="s">
        <v>77</v>
      </c>
      <c r="F251" t="s">
        <v>78</v>
      </c>
      <c r="G251" t="s">
        <v>118</v>
      </c>
      <c r="H251" t="s">
        <v>71</v>
      </c>
      <c r="I251">
        <v>1</v>
      </c>
      <c r="J251" t="s">
        <v>262</v>
      </c>
      <c r="K251" s="1" t="s">
        <v>272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ユニフォーム五色工ICONIC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s="1" t="s">
        <v>702</v>
      </c>
      <c r="D252" t="s">
        <v>111</v>
      </c>
      <c r="E252" s="1" t="s">
        <v>73</v>
      </c>
      <c r="F252" t="s">
        <v>78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職業体験五色工ICONIC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2</v>
      </c>
      <c r="C253" s="1" t="s">
        <v>702</v>
      </c>
      <c r="D253" t="s">
        <v>111</v>
      </c>
      <c r="E253" s="1" t="s">
        <v>73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272</v>
      </c>
      <c r="L253" s="1" t="s">
        <v>173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職業体験五色工ICONIC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1</v>
      </c>
      <c r="C254" t="s">
        <v>108</v>
      </c>
      <c r="D254" t="s">
        <v>112</v>
      </c>
      <c r="E254" t="s">
        <v>73</v>
      </c>
      <c r="F254" t="s">
        <v>74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ユニフォーム白布賢二郎ICONIC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t="s">
        <v>391</v>
      </c>
      <c r="D255" t="s">
        <v>392</v>
      </c>
      <c r="E255" t="s">
        <v>24</v>
      </c>
      <c r="F255" t="s">
        <v>31</v>
      </c>
      <c r="G255" t="s">
        <v>157</v>
      </c>
      <c r="H255" t="s">
        <v>71</v>
      </c>
      <c r="I255">
        <v>1</v>
      </c>
      <c r="J255" t="s">
        <v>262</v>
      </c>
      <c r="K255" t="s">
        <v>407</v>
      </c>
      <c r="L255" t="s">
        <v>276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探偵白布賢二郎ICONIC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2</v>
      </c>
      <c r="C256" t="s">
        <v>391</v>
      </c>
      <c r="D256" t="s">
        <v>392</v>
      </c>
      <c r="E256" t="s">
        <v>24</v>
      </c>
      <c r="F256" t="s">
        <v>31</v>
      </c>
      <c r="G256" t="s">
        <v>157</v>
      </c>
      <c r="H256" t="s">
        <v>71</v>
      </c>
      <c r="I256">
        <v>1</v>
      </c>
      <c r="J256" t="s">
        <v>262</v>
      </c>
      <c r="K256" t="s">
        <v>408</v>
      </c>
      <c r="L256" t="s">
        <v>402</v>
      </c>
      <c r="M256">
        <v>49</v>
      </c>
      <c r="N256">
        <v>0</v>
      </c>
      <c r="O256">
        <v>59</v>
      </c>
      <c r="P256">
        <v>0</v>
      </c>
      <c r="T256" t="str">
        <f>Special[[#This Row],[服装]]&amp;Special[[#This Row],[名前]]&amp;Special[[#This Row],[レアリティ]]</f>
        <v>探偵白布賢二郎ICONIC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t="s">
        <v>108</v>
      </c>
      <c r="D257" t="s">
        <v>113</v>
      </c>
      <c r="E257" t="s">
        <v>73</v>
      </c>
      <c r="F257" t="s">
        <v>78</v>
      </c>
      <c r="G257" t="s">
        <v>118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ユニフォーム大平獅音ICONIC</v>
      </c>
    </row>
    <row r="258" spans="1:20" x14ac:dyDescent="0.35">
      <c r="A258">
        <f>VLOOKUP(Special[[#This Row],[No用]],SetNo[[No.用]:[vlookup 用]],2,FALSE)</f>
        <v>154</v>
      </c>
      <c r="B258">
        <f>IF(ROW()=2,1,IF(A257&lt;&gt;Special[[#This Row],[No]],1,B257+1))</f>
        <v>1</v>
      </c>
      <c r="C258" t="s">
        <v>108</v>
      </c>
      <c r="D258" t="s">
        <v>114</v>
      </c>
      <c r="E258" t="s">
        <v>73</v>
      </c>
      <c r="F258" t="s">
        <v>82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ユニフォーム川西太一ICONIC</v>
      </c>
    </row>
    <row r="259" spans="1:20" x14ac:dyDescent="0.35">
      <c r="A259">
        <f>VLOOKUP(Special[[#This Row],[No用]],SetNo[[No.用]:[vlookup 用]],2,FALSE)</f>
        <v>155</v>
      </c>
      <c r="B259">
        <f>IF(ROW()=2,1,IF(A258&lt;&gt;Special[[#This Row],[No]],1,B258+1))</f>
        <v>1</v>
      </c>
      <c r="C259" s="1" t="s">
        <v>1122</v>
      </c>
      <c r="D259" s="1" t="s">
        <v>114</v>
      </c>
      <c r="E259" s="1" t="s">
        <v>90</v>
      </c>
      <c r="F259" s="1" t="s">
        <v>82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路地裏川西太一ICONIC</v>
      </c>
    </row>
    <row r="260" spans="1:20" x14ac:dyDescent="0.35">
      <c r="A260">
        <f>VLOOKUP(Special[[#This Row],[No用]],SetNo[[No.用]:[vlookup 用]],2,FALSE)</f>
        <v>156</v>
      </c>
      <c r="B260">
        <f>IF(ROW()=2,1,IF(A259&lt;&gt;Special[[#This Row],[No]],1,B259+1))</f>
        <v>1</v>
      </c>
      <c r="C260" t="s">
        <v>108</v>
      </c>
      <c r="D260" s="1" t="s">
        <v>662</v>
      </c>
      <c r="E260" t="s">
        <v>73</v>
      </c>
      <c r="F260" t="s">
        <v>74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ユニフォーム瀬見英太ICONIC</v>
      </c>
    </row>
    <row r="261" spans="1:20" x14ac:dyDescent="0.35">
      <c r="A261">
        <f>VLOOKUP(Special[[#This Row],[No用]],SetNo[[No.用]:[vlookup 用]],2,FALSE)</f>
        <v>157</v>
      </c>
      <c r="B261">
        <f>IF(ROW()=2,1,IF(A260&lt;&gt;Special[[#This Row],[No]],1,B260+1))</f>
        <v>1</v>
      </c>
      <c r="C261" s="1" t="s">
        <v>988</v>
      </c>
      <c r="D261" s="1" t="s">
        <v>662</v>
      </c>
      <c r="E261" s="1" t="s">
        <v>90</v>
      </c>
      <c r="F261" t="s">
        <v>74</v>
      </c>
      <c r="G261" t="s">
        <v>118</v>
      </c>
      <c r="H261" t="s">
        <v>71</v>
      </c>
      <c r="I261">
        <v>2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雪遊び瀬見英太ICONIC</v>
      </c>
    </row>
    <row r="262" spans="1:20" x14ac:dyDescent="0.35">
      <c r="A262">
        <f>VLOOKUP(Special[[#This Row],[No用]],SetNo[[No.用]:[vlookup 用]],2,FALSE)</f>
        <v>157</v>
      </c>
      <c r="B262">
        <f>IF(ROW()=2,1,IF(A261&lt;&gt;Special[[#This Row],[No]],1,B261+1))</f>
        <v>2</v>
      </c>
      <c r="C262" s="1" t="s">
        <v>988</v>
      </c>
      <c r="D262" s="1" t="s">
        <v>662</v>
      </c>
      <c r="E262" s="1" t="s">
        <v>90</v>
      </c>
      <c r="F262" t="s">
        <v>74</v>
      </c>
      <c r="G262" t="s">
        <v>118</v>
      </c>
      <c r="H262" t="s">
        <v>71</v>
      </c>
      <c r="I262">
        <v>3</v>
      </c>
      <c r="J262" t="s">
        <v>262</v>
      </c>
      <c r="K262" s="1" t="s">
        <v>180</v>
      </c>
      <c r="L262" s="1" t="s">
        <v>225</v>
      </c>
      <c r="M262">
        <v>46</v>
      </c>
      <c r="N262">
        <v>0</v>
      </c>
      <c r="O262">
        <v>56</v>
      </c>
      <c r="P262">
        <v>0</v>
      </c>
      <c r="Q262" s="1" t="s">
        <v>110</v>
      </c>
      <c r="R262" s="1" t="s">
        <v>989</v>
      </c>
      <c r="T262" t="str">
        <f>Special[[#This Row],[服装]]&amp;Special[[#This Row],[名前]]&amp;Special[[#This Row],[レアリティ]]</f>
        <v>雪遊び瀬見英太ICONIC</v>
      </c>
    </row>
    <row r="263" spans="1:20" x14ac:dyDescent="0.35">
      <c r="A263">
        <f>VLOOKUP(Special[[#This Row],[No用]],SetNo[[No.用]:[vlookup 用]],2,FALSE)</f>
        <v>158</v>
      </c>
      <c r="B263">
        <f>IF(ROW()=2,1,IF(A262&lt;&gt;Special[[#This Row],[No]],1,B262+1))</f>
        <v>1</v>
      </c>
      <c r="C263" t="s">
        <v>108</v>
      </c>
      <c r="D263" t="s">
        <v>115</v>
      </c>
      <c r="E263" t="s">
        <v>73</v>
      </c>
      <c r="F263" t="s">
        <v>80</v>
      </c>
      <c r="G263" t="s">
        <v>118</v>
      </c>
      <c r="H263" t="s">
        <v>71</v>
      </c>
      <c r="I263">
        <v>1</v>
      </c>
      <c r="J263" t="s">
        <v>262</v>
      </c>
      <c r="K263" s="1" t="s">
        <v>196</v>
      </c>
      <c r="L263" s="1" t="s">
        <v>173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ユニフォーム山形隼人ICONIC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186</v>
      </c>
      <c r="E264" t="s">
        <v>77</v>
      </c>
      <c r="F264" t="s">
        <v>74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s="1" t="s">
        <v>895</v>
      </c>
      <c r="D265" t="s">
        <v>186</v>
      </c>
      <c r="E265" s="1" t="s">
        <v>73</v>
      </c>
      <c r="F265" t="s">
        <v>74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文化祭宮侑ICONIC</v>
      </c>
    </row>
    <row r="266" spans="1:20" x14ac:dyDescent="0.35">
      <c r="A266">
        <f>VLOOKUP(Special[[#This Row],[No用]],SetNo[[No.用]:[vlookup 用]],2,FALSE)</f>
        <v>160</v>
      </c>
      <c r="B266">
        <f>IF(ROW()=2,1,IF(A265&lt;&gt;Special[[#This Row],[No]],1,B265+1))</f>
        <v>2</v>
      </c>
      <c r="C266" s="1" t="s">
        <v>895</v>
      </c>
      <c r="D266" t="s">
        <v>186</v>
      </c>
      <c r="E266" s="1" t="s">
        <v>73</v>
      </c>
      <c r="F266" t="s">
        <v>74</v>
      </c>
      <c r="G266" t="s">
        <v>185</v>
      </c>
      <c r="H266" t="s">
        <v>71</v>
      </c>
      <c r="I266">
        <v>1</v>
      </c>
      <c r="J266" t="s">
        <v>262</v>
      </c>
      <c r="K266" s="1" t="s">
        <v>275</v>
      </c>
      <c r="L266" s="1" t="s">
        <v>225</v>
      </c>
      <c r="M266">
        <v>50</v>
      </c>
      <c r="N266">
        <v>0</v>
      </c>
      <c r="O266">
        <v>60</v>
      </c>
      <c r="P266">
        <v>0</v>
      </c>
      <c r="T266" t="str">
        <f>Special[[#This Row],[服装]]&amp;Special[[#This Row],[名前]]&amp;Special[[#This Row],[レアリティ]]</f>
        <v>文化祭宮侑ICONIC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s="1" t="s">
        <v>1071</v>
      </c>
      <c r="D267" s="1" t="s">
        <v>186</v>
      </c>
      <c r="E267" s="1" t="s">
        <v>90</v>
      </c>
      <c r="F267" s="1" t="s">
        <v>74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RPG宮侑ICONIC</v>
      </c>
    </row>
    <row r="268" spans="1:20" x14ac:dyDescent="0.35">
      <c r="A268">
        <f>VLOOKUP(Special[[#This Row],[No用]],SetNo[[No.用]:[vlookup 用]],2,FALSE)</f>
        <v>161</v>
      </c>
      <c r="B268">
        <f>IF(ROW()=2,1,IF(A267&lt;&gt;Special[[#This Row],[No]],1,B267+1))</f>
        <v>2</v>
      </c>
      <c r="C268" s="1" t="s">
        <v>1071</v>
      </c>
      <c r="D268" s="1" t="s">
        <v>186</v>
      </c>
      <c r="E268" s="1" t="s">
        <v>90</v>
      </c>
      <c r="F268" s="1" t="s">
        <v>74</v>
      </c>
      <c r="G268" s="1" t="s">
        <v>185</v>
      </c>
      <c r="H268" s="1" t="s">
        <v>71</v>
      </c>
      <c r="I268">
        <v>1</v>
      </c>
      <c r="J268" t="s">
        <v>262</v>
      </c>
      <c r="K268" s="1" t="s">
        <v>275</v>
      </c>
      <c r="L268" s="1" t="s">
        <v>225</v>
      </c>
      <c r="M268">
        <v>50</v>
      </c>
      <c r="N268">
        <v>0</v>
      </c>
      <c r="O268">
        <v>60</v>
      </c>
      <c r="P268">
        <v>0</v>
      </c>
      <c r="T268" t="str">
        <f>Special[[#This Row],[服装]]&amp;Special[[#This Row],[名前]]&amp;Special[[#This Row],[レアリティ]]</f>
        <v>RPG宮侑ICONIC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t="s">
        <v>108</v>
      </c>
      <c r="D269" t="s">
        <v>187</v>
      </c>
      <c r="E269" t="s">
        <v>90</v>
      </c>
      <c r="F269" t="s">
        <v>78</v>
      </c>
      <c r="G269" t="s">
        <v>185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ユニフォーム宮治ICONIC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s="1" t="s">
        <v>1071</v>
      </c>
      <c r="D270" s="1" t="s">
        <v>187</v>
      </c>
      <c r="E270" s="1" t="s">
        <v>90</v>
      </c>
      <c r="F270" s="1" t="s">
        <v>78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RPG宮治ICONIC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s="1" t="s">
        <v>1071</v>
      </c>
      <c r="D271" s="1" t="s">
        <v>187</v>
      </c>
      <c r="E271" s="1" t="s">
        <v>90</v>
      </c>
      <c r="F271" s="1" t="s">
        <v>78</v>
      </c>
      <c r="G271" s="1" t="s">
        <v>185</v>
      </c>
      <c r="H271" s="1" t="s">
        <v>71</v>
      </c>
      <c r="I271">
        <v>1</v>
      </c>
      <c r="J271" t="s">
        <v>262</v>
      </c>
      <c r="K271" s="1" t="s">
        <v>180</v>
      </c>
      <c r="L271" s="1" t="s">
        <v>225</v>
      </c>
      <c r="M271">
        <v>49</v>
      </c>
      <c r="N271">
        <v>0</v>
      </c>
      <c r="O271">
        <v>59</v>
      </c>
      <c r="P271">
        <v>0</v>
      </c>
      <c r="T271" t="str">
        <f>Special[[#This Row],[服装]]&amp;Special[[#This Row],[名前]]&amp;Special[[#This Row],[レアリティ]]</f>
        <v>RPG宮治ICONIC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t="s">
        <v>108</v>
      </c>
      <c r="D272" t="s">
        <v>188</v>
      </c>
      <c r="E272" t="s">
        <v>77</v>
      </c>
      <c r="F272" t="s">
        <v>82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ユニフォーム角名倫太郎ICONIC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t="s">
        <v>108</v>
      </c>
      <c r="D273" t="s">
        <v>188</v>
      </c>
      <c r="E273" t="s">
        <v>77</v>
      </c>
      <c r="F273" t="s">
        <v>82</v>
      </c>
      <c r="G273" t="s">
        <v>185</v>
      </c>
      <c r="H273" t="s">
        <v>71</v>
      </c>
      <c r="I273">
        <v>1</v>
      </c>
      <c r="J273" t="s">
        <v>262</v>
      </c>
      <c r="K273" s="1" t="s">
        <v>282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ユニフォーム角名倫太郎ICONIC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1049</v>
      </c>
      <c r="D274" s="1" t="s">
        <v>188</v>
      </c>
      <c r="E274" s="1" t="s">
        <v>73</v>
      </c>
      <c r="F274" s="1" t="s">
        <v>82</v>
      </c>
      <c r="G274" s="1" t="s">
        <v>185</v>
      </c>
      <c r="H274" s="1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サバゲ角名倫太郎ICONIC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1049</v>
      </c>
      <c r="D275" s="1" t="s">
        <v>188</v>
      </c>
      <c r="E275" s="1" t="s">
        <v>73</v>
      </c>
      <c r="F275" s="1" t="s">
        <v>82</v>
      </c>
      <c r="G275" s="1" t="s">
        <v>185</v>
      </c>
      <c r="H275" s="1" t="s">
        <v>71</v>
      </c>
      <c r="I275">
        <v>1</v>
      </c>
      <c r="J275" t="s">
        <v>262</v>
      </c>
      <c r="K275" s="1" t="s">
        <v>282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サバゲ角名倫太郎ICONIC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t="s">
        <v>189</v>
      </c>
      <c r="E276" t="s">
        <v>77</v>
      </c>
      <c r="F276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ユニフォーム北信介ICONIC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t="s">
        <v>108</v>
      </c>
      <c r="D277" t="s">
        <v>189</v>
      </c>
      <c r="E277" t="s">
        <v>77</v>
      </c>
      <c r="F277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47</v>
      </c>
      <c r="N277">
        <v>0</v>
      </c>
      <c r="O277">
        <v>57</v>
      </c>
      <c r="P277">
        <v>0</v>
      </c>
      <c r="T277" t="str">
        <f>Special[[#This Row],[服装]]&amp;Special[[#This Row],[名前]]&amp;Special[[#This Row],[レアリティ]]</f>
        <v>ユニフォーム北信介ICONIC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s="1" t="s">
        <v>915</v>
      </c>
      <c r="D278" t="s">
        <v>189</v>
      </c>
      <c r="E278" s="1" t="s">
        <v>73</v>
      </c>
      <c r="F278" t="s">
        <v>78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Xmas北信介ICONIC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2</v>
      </c>
      <c r="C279" s="1" t="s">
        <v>915</v>
      </c>
      <c r="D279" t="s">
        <v>189</v>
      </c>
      <c r="E279" s="1" t="s">
        <v>73</v>
      </c>
      <c r="F279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180</v>
      </c>
      <c r="L279" s="1" t="s">
        <v>173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Xmas北信介ICONIC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1</v>
      </c>
      <c r="C280" t="s">
        <v>108</v>
      </c>
      <c r="D280" s="1" t="s">
        <v>665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ユニフォーム尾白アランICONIC</v>
      </c>
    </row>
    <row r="281" spans="1:20" x14ac:dyDescent="0.35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s="1" t="s">
        <v>959</v>
      </c>
      <c r="D281" s="1" t="s">
        <v>665</v>
      </c>
      <c r="E281" s="1" t="s">
        <v>979</v>
      </c>
      <c r="F281" s="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雪遊び尾白アランICONIC</v>
      </c>
    </row>
    <row r="282" spans="1:20" x14ac:dyDescent="0.35">
      <c r="A282">
        <f>VLOOKUP(Special[[#This Row],[No用]],SetNo[[No.用]:[vlookup 用]],2,FALSE)</f>
        <v>170</v>
      </c>
      <c r="B282">
        <f>IF(ROW()=2,1,IF(A281&lt;&gt;Special[[#This Row],[No]],1,B281+1))</f>
        <v>1</v>
      </c>
      <c r="C282" t="s">
        <v>108</v>
      </c>
      <c r="D282" s="1" t="s">
        <v>667</v>
      </c>
      <c r="E282" t="s">
        <v>77</v>
      </c>
      <c r="F282" s="1" t="s">
        <v>80</v>
      </c>
      <c r="G282" t="s">
        <v>185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ユニフォーム赤木路成ICONIC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1</v>
      </c>
      <c r="C283" t="s">
        <v>108</v>
      </c>
      <c r="D283" s="1" t="s">
        <v>669</v>
      </c>
      <c r="E283" t="s">
        <v>77</v>
      </c>
      <c r="F283" s="1" t="s">
        <v>82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ユニフォーム大耳練ICONIC</v>
      </c>
    </row>
    <row r="284" spans="1:20" x14ac:dyDescent="0.35">
      <c r="A284">
        <f>VLOOKUP(Special[[#This Row],[No用]],SetNo[[No.用]:[vlookup 用]],2,FALSE)</f>
        <v>172</v>
      </c>
      <c r="B284">
        <f>IF(ROW()=2,1,IF(A283&lt;&gt;Special[[#This Row],[No]],1,B283+1))</f>
        <v>1</v>
      </c>
      <c r="C284" t="s">
        <v>108</v>
      </c>
      <c r="D284" s="1" t="s">
        <v>671</v>
      </c>
      <c r="E284" t="s">
        <v>77</v>
      </c>
      <c r="F284" s="1" t="s">
        <v>78</v>
      </c>
      <c r="G284" t="s">
        <v>185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ユニフォーム理石平介ICONIC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2</v>
      </c>
      <c r="C285" t="s">
        <v>108</v>
      </c>
      <c r="D285" s="1" t="s">
        <v>671</v>
      </c>
      <c r="E285" t="s">
        <v>77</v>
      </c>
      <c r="F285" s="1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180</v>
      </c>
      <c r="L285" s="1" t="s">
        <v>173</v>
      </c>
      <c r="M285">
        <v>29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ユニフォーム理石平介ICONIC</v>
      </c>
    </row>
    <row r="286" spans="1:20" x14ac:dyDescent="0.35">
      <c r="A286">
        <f>VLOOKUP(Special[[#This Row],[No用]],SetNo[[No.用]:[vlookup 用]],2,FALSE)</f>
        <v>173</v>
      </c>
      <c r="B286">
        <f>IF(ROW()=2,1,IF(A285&lt;&gt;Special[[#This Row],[No]],1,B285+1))</f>
        <v>1</v>
      </c>
      <c r="C286" s="1" t="s">
        <v>108</v>
      </c>
      <c r="D286" s="1" t="s">
        <v>1178</v>
      </c>
      <c r="E286" s="1" t="s">
        <v>77</v>
      </c>
      <c r="F286" s="1" t="s">
        <v>78</v>
      </c>
      <c r="G286" s="1" t="s">
        <v>185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ユニフォーム銀島結ICONIC</v>
      </c>
    </row>
    <row r="287" spans="1:20" x14ac:dyDescent="0.35">
      <c r="A287">
        <f>VLOOKUP(Special[[#This Row],[No用]],SetNo[[No.用]:[vlookup 用]],2,FALSE)</f>
        <v>174</v>
      </c>
      <c r="B287">
        <f>IF(ROW()=2,1,IF(A286&lt;&gt;Special[[#This Row],[No]],1,B286+1))</f>
        <v>1</v>
      </c>
      <c r="C287" t="s">
        <v>108</v>
      </c>
      <c r="D287" t="s">
        <v>122</v>
      </c>
      <c r="E287" t="s">
        <v>90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ユニフォーム木兎光太郎ICONIC</v>
      </c>
    </row>
    <row r="288" spans="1:20" x14ac:dyDescent="0.35">
      <c r="A288">
        <f>VLOOKUP(Special[[#This Row],[No用]],SetNo[[No.用]:[vlookup 用]],2,FALSE)</f>
        <v>174</v>
      </c>
      <c r="B288">
        <f>IF(ROW()=2,1,IF(A287&lt;&gt;Special[[#This Row],[No]],1,B287+1))</f>
        <v>2</v>
      </c>
      <c r="C288" t="s">
        <v>108</v>
      </c>
      <c r="D288" t="s">
        <v>122</v>
      </c>
      <c r="E288" t="s">
        <v>90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274</v>
      </c>
      <c r="L288" s="1" t="s">
        <v>225</v>
      </c>
      <c r="M288">
        <v>51</v>
      </c>
      <c r="N288">
        <v>0</v>
      </c>
      <c r="O288">
        <v>61</v>
      </c>
      <c r="P288">
        <v>0</v>
      </c>
      <c r="T288" t="str">
        <f>Special[[#This Row],[服装]]&amp;Special[[#This Row],[名前]]&amp;Special[[#This Row],[レアリティ]]</f>
        <v>ユニフォーム木兎光太郎ICONIC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3</v>
      </c>
      <c r="C289" t="s">
        <v>108</v>
      </c>
      <c r="D289" t="s">
        <v>122</v>
      </c>
      <c r="E289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851</v>
      </c>
      <c r="L289" s="1" t="s">
        <v>225</v>
      </c>
      <c r="M289">
        <v>51</v>
      </c>
      <c r="N289">
        <v>0</v>
      </c>
      <c r="O289">
        <v>61</v>
      </c>
      <c r="P289">
        <v>0</v>
      </c>
      <c r="Q289" s="1" t="s">
        <v>852</v>
      </c>
      <c r="T289" t="str">
        <f>Special[[#This Row],[服装]]&amp;Special[[#This Row],[名前]]&amp;Special[[#This Row],[レアリティ]]</f>
        <v>ユニフォーム木兎光太郎ICONIC</v>
      </c>
    </row>
    <row r="290" spans="1:20" x14ac:dyDescent="0.35">
      <c r="A290">
        <f>VLOOKUP(Special[[#This Row],[No用]],SetNo[[No.用]:[vlookup 用]],2,FALSE)</f>
        <v>175</v>
      </c>
      <c r="B290">
        <f>IF(ROW()=2,1,IF(A289&lt;&gt;Special[[#This Row],[No]],1,B289+1))</f>
        <v>1</v>
      </c>
      <c r="C290" t="s">
        <v>150</v>
      </c>
      <c r="D290" t="s">
        <v>122</v>
      </c>
      <c r="E290" t="s">
        <v>77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夏祭り木兎光太郎ICONIC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2</v>
      </c>
      <c r="C291" t="s">
        <v>150</v>
      </c>
      <c r="D291" t="s">
        <v>122</v>
      </c>
      <c r="E291" t="s">
        <v>77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180</v>
      </c>
      <c r="L291" s="1" t="s">
        <v>173</v>
      </c>
      <c r="M291">
        <v>15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夏祭り木兎光太郎ICONIC</v>
      </c>
    </row>
    <row r="292" spans="1:20" x14ac:dyDescent="0.35">
      <c r="A292">
        <f>VLOOKUP(Special[[#This Row],[No用]],SetNo[[No.用]:[vlookup 用]],2,FALSE)</f>
        <v>176</v>
      </c>
      <c r="B292">
        <f>IF(ROW()=2,1,IF(A291&lt;&gt;Special[[#This Row],[No]],1,B291+1))</f>
        <v>1</v>
      </c>
      <c r="C292" s="1" t="s">
        <v>915</v>
      </c>
      <c r="D292" t="s">
        <v>122</v>
      </c>
      <c r="E292" s="1" t="s">
        <v>73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Xmas木兎光太郎ICONIC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2</v>
      </c>
      <c r="C293" s="1" t="s">
        <v>915</v>
      </c>
      <c r="D293" t="s">
        <v>122</v>
      </c>
      <c r="E293" s="1" t="s">
        <v>73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922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 t="s">
        <v>287</v>
      </c>
      <c r="S293">
        <v>2</v>
      </c>
      <c r="T293" t="str">
        <f>Special[[#This Row],[服装]]&amp;Special[[#This Row],[名前]]&amp;Special[[#This Row],[レアリティ]]</f>
        <v>Xmas木兎光太郎ICONIC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s="1" t="s">
        <v>149</v>
      </c>
      <c r="D294" t="s">
        <v>122</v>
      </c>
      <c r="E294" s="1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制服木兎光太郎ICONIC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2</v>
      </c>
      <c r="C295" s="1" t="s">
        <v>149</v>
      </c>
      <c r="D295" t="s">
        <v>122</v>
      </c>
      <c r="E295" s="1" t="s">
        <v>90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180</v>
      </c>
      <c r="L295" s="1" t="s">
        <v>173</v>
      </c>
      <c r="M295">
        <v>15</v>
      </c>
      <c r="N295">
        <v>0</v>
      </c>
      <c r="O295">
        <v>0</v>
      </c>
      <c r="P295">
        <v>0</v>
      </c>
      <c r="R295" s="1"/>
      <c r="T295" t="str">
        <f>Special[[#This Row],[服装]]&amp;Special[[#This Row],[名前]]&amp;Special[[#This Row],[レアリティ]]</f>
        <v>制服木兎光太郎ICONIC</v>
      </c>
    </row>
    <row r="296" spans="1:20" x14ac:dyDescent="0.35">
      <c r="A296">
        <f>VLOOKUP(Special[[#This Row],[No用]],SetNo[[No.用]:[vlookup 用]],2,FALSE)</f>
        <v>177</v>
      </c>
      <c r="B296">
        <f>IF(ROW()=2,1,IF(A295&lt;&gt;Special[[#This Row],[No]],1,B295+1))</f>
        <v>3</v>
      </c>
      <c r="C296" s="1" t="s">
        <v>149</v>
      </c>
      <c r="D296" t="s">
        <v>122</v>
      </c>
      <c r="E296" s="1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193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/>
      <c r="T296" t="str">
        <f>Special[[#This Row],[服装]]&amp;Special[[#This Row],[名前]]&amp;Special[[#This Row],[レアリティ]]</f>
        <v>制服木兎光太郎ICONIC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1</v>
      </c>
      <c r="C297" t="s">
        <v>108</v>
      </c>
      <c r="D297" t="s">
        <v>123</v>
      </c>
      <c r="E297" t="s">
        <v>90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ユニフォーム木葉秋紀ICONIC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s="1" t="s">
        <v>386</v>
      </c>
      <c r="D298" t="s">
        <v>123</v>
      </c>
      <c r="E298" s="1" t="s">
        <v>77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探偵木葉秋紀ICONIC</v>
      </c>
    </row>
    <row r="299" spans="1:20" x14ac:dyDescent="0.35">
      <c r="A299">
        <f>VLOOKUP(Special[[#This Row],[No用]],SetNo[[No.用]:[vlookup 用]],2,FALSE)</f>
        <v>180</v>
      </c>
      <c r="B299">
        <f>IF(ROW()=2,1,IF(A298&lt;&gt;Special[[#This Row],[No]],1,B298+1))</f>
        <v>1</v>
      </c>
      <c r="C299" t="s">
        <v>108</v>
      </c>
      <c r="D299" t="s">
        <v>124</v>
      </c>
      <c r="E299" t="s">
        <v>90</v>
      </c>
      <c r="F299" t="s">
        <v>78</v>
      </c>
      <c r="G299" t="s">
        <v>128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12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ユニフォーム猿杙大和ICONIC</v>
      </c>
    </row>
    <row r="300" spans="1:20" x14ac:dyDescent="0.35">
      <c r="A300">
        <f>VLOOKUP(Special[[#This Row],[No用]],SetNo[[No.用]:[vlookup 用]],2,FALSE)</f>
        <v>181</v>
      </c>
      <c r="B300">
        <f>IF(ROW()=2,1,IF(A299&lt;&gt;Special[[#This Row],[No]],1,B299+1))</f>
        <v>1</v>
      </c>
      <c r="C300" t="s">
        <v>108</v>
      </c>
      <c r="D300" t="s">
        <v>125</v>
      </c>
      <c r="E300" t="s">
        <v>90</v>
      </c>
      <c r="F300" t="s">
        <v>80</v>
      </c>
      <c r="G300" t="s">
        <v>128</v>
      </c>
      <c r="H300" t="s">
        <v>71</v>
      </c>
      <c r="I300">
        <v>1</v>
      </c>
      <c r="J300" t="s">
        <v>262</v>
      </c>
      <c r="K300" s="1" t="s">
        <v>196</v>
      </c>
      <c r="L300" s="1" t="s">
        <v>173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ユニフォーム小見春樹ICONIC</v>
      </c>
    </row>
    <row r="301" spans="1:20" x14ac:dyDescent="0.35">
      <c r="A301">
        <f>VLOOKUP(Special[[#This Row],[No用]],SetNo[[No.用]:[vlookup 用]],2,FALSE)</f>
        <v>182</v>
      </c>
      <c r="B301">
        <f>IF(ROW()=2,1,IF(A300&lt;&gt;Special[[#This Row],[No]],1,B300+1))</f>
        <v>1</v>
      </c>
      <c r="C301" t="s">
        <v>108</v>
      </c>
      <c r="D301" t="s">
        <v>126</v>
      </c>
      <c r="E301" t="s">
        <v>90</v>
      </c>
      <c r="F301" t="s">
        <v>82</v>
      </c>
      <c r="G301" t="s">
        <v>128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12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ユニフォーム尾長渉ICONIC</v>
      </c>
    </row>
    <row r="302" spans="1:20" x14ac:dyDescent="0.35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t="s">
        <v>108</v>
      </c>
      <c r="D302" t="s">
        <v>127</v>
      </c>
      <c r="E302" t="s">
        <v>90</v>
      </c>
      <c r="F302" t="s">
        <v>82</v>
      </c>
      <c r="G302" t="s">
        <v>128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ユニフォーム鷲尾辰生ICONIC</v>
      </c>
    </row>
    <row r="303" spans="1:20" x14ac:dyDescent="0.35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t="s">
        <v>108</v>
      </c>
      <c r="D303" t="s">
        <v>129</v>
      </c>
      <c r="E303" t="s">
        <v>73</v>
      </c>
      <c r="F303" t="s">
        <v>74</v>
      </c>
      <c r="G303" t="s">
        <v>128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ユニフォーム赤葦京治ICONIC</v>
      </c>
    </row>
    <row r="304" spans="1:20" x14ac:dyDescent="0.35">
      <c r="A304">
        <f>VLOOKUP(Special[[#This Row],[No用]],SetNo[[No.用]:[vlookup 用]],2,FALSE)</f>
        <v>184</v>
      </c>
      <c r="B304">
        <f>IF(ROW()=2,1,IF(A303&lt;&gt;Special[[#This Row],[No]],1,B303+1))</f>
        <v>2</v>
      </c>
      <c r="C304" t="s">
        <v>108</v>
      </c>
      <c r="D304" t="s">
        <v>129</v>
      </c>
      <c r="E304" t="s">
        <v>73</v>
      </c>
      <c r="F304" t="s">
        <v>74</v>
      </c>
      <c r="G304" t="s">
        <v>128</v>
      </c>
      <c r="H304" t="s">
        <v>71</v>
      </c>
      <c r="I304">
        <v>1</v>
      </c>
      <c r="J304" t="s">
        <v>262</v>
      </c>
      <c r="K304" s="1" t="s">
        <v>700</v>
      </c>
      <c r="L304" s="1" t="s">
        <v>225</v>
      </c>
      <c r="M304">
        <v>50</v>
      </c>
      <c r="N304">
        <v>0</v>
      </c>
      <c r="O304">
        <v>60</v>
      </c>
      <c r="P304">
        <v>0</v>
      </c>
      <c r="T304" t="str">
        <f>Special[[#This Row],[服装]]&amp;Special[[#This Row],[名前]]&amp;Special[[#This Row],[レアリティ]]</f>
        <v>ユニフォーム赤葦京治ICONIC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t="s">
        <v>150</v>
      </c>
      <c r="D305" t="s">
        <v>129</v>
      </c>
      <c r="E305" t="s">
        <v>90</v>
      </c>
      <c r="F305" t="s">
        <v>74</v>
      </c>
      <c r="G305" t="s">
        <v>128</v>
      </c>
      <c r="H305" t="s">
        <v>71</v>
      </c>
      <c r="I305">
        <v>1</v>
      </c>
      <c r="J305" t="s">
        <v>262</v>
      </c>
      <c r="K305" s="1" t="s">
        <v>281</v>
      </c>
      <c r="L305" s="1" t="s">
        <v>173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夏祭り赤葦京治ICONIC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s="1" t="s">
        <v>149</v>
      </c>
      <c r="D306" s="1" t="s">
        <v>129</v>
      </c>
      <c r="E306" s="1" t="s">
        <v>77</v>
      </c>
      <c r="F306" s="1" t="s">
        <v>74</v>
      </c>
      <c r="G306" s="1" t="s">
        <v>128</v>
      </c>
      <c r="H306" s="1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制服赤葦京治ICONIC</v>
      </c>
    </row>
    <row r="307" spans="1:20" x14ac:dyDescent="0.35">
      <c r="A307">
        <f>VLOOKUP(Special[[#This Row],[No用]],SetNo[[No.用]:[vlookup 用]],2,FALSE)</f>
        <v>187</v>
      </c>
      <c r="B307">
        <f>IF(ROW()=2,1,IF(A306&lt;&gt;Special[[#This Row],[No]],1,B306+1))</f>
        <v>1</v>
      </c>
      <c r="C307" s="1" t="s">
        <v>1165</v>
      </c>
      <c r="D307" s="1" t="s">
        <v>129</v>
      </c>
      <c r="E307" s="1" t="s">
        <v>73</v>
      </c>
      <c r="F307" s="1" t="s">
        <v>74</v>
      </c>
      <c r="G307" s="1" t="s">
        <v>128</v>
      </c>
      <c r="H307" s="1" t="s">
        <v>71</v>
      </c>
      <c r="I307">
        <v>1</v>
      </c>
      <c r="J307" t="s">
        <v>262</v>
      </c>
      <c r="K307" s="1" t="s">
        <v>281</v>
      </c>
      <c r="L307" s="1" t="s">
        <v>1141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バーガー赤葦京治ICONIC</v>
      </c>
    </row>
    <row r="308" spans="1:20" x14ac:dyDescent="0.35">
      <c r="A308">
        <f>VLOOKUP(Special[[#This Row],[No用]],SetNo[[No.用]:[vlookup 用]],2,FALSE)</f>
        <v>187</v>
      </c>
      <c r="B308">
        <f>IF(ROW()=2,1,IF(A307&lt;&gt;Special[[#This Row],[No]],1,B307+1))</f>
        <v>2</v>
      </c>
      <c r="C308" s="1" t="s">
        <v>1165</v>
      </c>
      <c r="D308" s="1" t="s">
        <v>129</v>
      </c>
      <c r="E308" s="1" t="s">
        <v>73</v>
      </c>
      <c r="F308" s="1" t="s">
        <v>74</v>
      </c>
      <c r="G308" s="1" t="s">
        <v>128</v>
      </c>
      <c r="H308" s="1" t="s">
        <v>71</v>
      </c>
      <c r="I308">
        <v>1</v>
      </c>
      <c r="J308" t="s">
        <v>262</v>
      </c>
      <c r="K308" s="1" t="s">
        <v>193</v>
      </c>
      <c r="L308" s="1" t="s">
        <v>225</v>
      </c>
      <c r="M308">
        <v>47</v>
      </c>
      <c r="N308">
        <v>0</v>
      </c>
      <c r="O308">
        <v>57</v>
      </c>
      <c r="P308">
        <v>0</v>
      </c>
      <c r="R308" s="1" t="s">
        <v>287</v>
      </c>
      <c r="S308">
        <v>2</v>
      </c>
      <c r="T308" t="str">
        <f>Special[[#This Row],[服装]]&amp;Special[[#This Row],[名前]]&amp;Special[[#This Row],[レアリティ]]</f>
        <v>バーガー赤葦京治ICONIC</v>
      </c>
    </row>
    <row r="309" spans="1:20" x14ac:dyDescent="0.35">
      <c r="A309">
        <f>VLOOKUP(Special[[#This Row],[No用]],SetNo[[No.用]:[vlookup 用]],2,FALSE)</f>
        <v>188</v>
      </c>
      <c r="B309">
        <f>IF(ROW()=2,1,IF(A308&lt;&gt;Special[[#This Row],[No]],1,B308+1))</f>
        <v>1</v>
      </c>
      <c r="C309" s="1" t="s">
        <v>108</v>
      </c>
      <c r="D309" s="1" t="s">
        <v>1116</v>
      </c>
      <c r="E309" s="1" t="s">
        <v>90</v>
      </c>
      <c r="F309" s="1" t="s">
        <v>78</v>
      </c>
      <c r="G309" s="1" t="s">
        <v>1102</v>
      </c>
      <c r="H309" s="1" t="s">
        <v>690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ユニフォーム姫川葵ICONIC</v>
      </c>
    </row>
    <row r="310" spans="1:20" x14ac:dyDescent="0.35">
      <c r="A310">
        <f>VLOOKUP(Special[[#This Row],[No用]],SetNo[[No.用]:[vlookup 用]],2,FALSE)</f>
        <v>188</v>
      </c>
      <c r="B310">
        <f>IF(ROW()=2,1,IF(A309&lt;&gt;Special[[#This Row],[No]],1,B309+1))</f>
        <v>2</v>
      </c>
      <c r="C310" s="1" t="s">
        <v>108</v>
      </c>
      <c r="D310" s="1" t="s">
        <v>1116</v>
      </c>
      <c r="E310" s="1" t="s">
        <v>90</v>
      </c>
      <c r="F310" s="1" t="s">
        <v>78</v>
      </c>
      <c r="G310" s="1" t="s">
        <v>1102</v>
      </c>
      <c r="H310" s="1" t="s">
        <v>690</v>
      </c>
      <c r="I310">
        <v>1</v>
      </c>
      <c r="J310" t="s">
        <v>262</v>
      </c>
      <c r="K310" s="1" t="s">
        <v>180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Special[[#This Row],[服装]]&amp;Special[[#This Row],[名前]]&amp;Special[[#This Row],[レアリティ]]</f>
        <v>ユニフォーム姫川葵ICONIC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1</v>
      </c>
      <c r="C311" s="1" t="s">
        <v>108</v>
      </c>
      <c r="D311" s="1" t="s">
        <v>1130</v>
      </c>
      <c r="E311" s="1" t="s">
        <v>90</v>
      </c>
      <c r="F311" s="1" t="s">
        <v>82</v>
      </c>
      <c r="G311" s="1" t="s">
        <v>1102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ユニフォーム当間義友ICONIC</v>
      </c>
    </row>
    <row r="312" spans="1:20" x14ac:dyDescent="0.35">
      <c r="A312">
        <f>VLOOKUP(Special[[#This Row],[No用]],SetNo[[No.用]:[vlookup 用]],2,FALSE)</f>
        <v>190</v>
      </c>
      <c r="B312">
        <f>IF(ROW()=2,1,IF(A311&lt;&gt;Special[[#This Row],[No]],1,B311+1))</f>
        <v>1</v>
      </c>
      <c r="C312" s="1" t="s">
        <v>108</v>
      </c>
      <c r="D312" s="1" t="s">
        <v>1100</v>
      </c>
      <c r="E312" s="1" t="s">
        <v>90</v>
      </c>
      <c r="F312" s="1" t="s">
        <v>74</v>
      </c>
      <c r="G312" s="1" t="s">
        <v>1102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ユニフォーム越後栄ICONIC</v>
      </c>
    </row>
    <row r="313" spans="1:20" x14ac:dyDescent="0.35">
      <c r="A313">
        <f>VLOOKUP(Special[[#This Row],[No用]],SetNo[[No.用]:[vlookup 用]],2,FALSE)</f>
        <v>190</v>
      </c>
      <c r="B313">
        <f>IF(ROW()=2,1,IF(A312&lt;&gt;Special[[#This Row],[No]],1,B312+1))</f>
        <v>2</v>
      </c>
      <c r="C313" s="1" t="s">
        <v>108</v>
      </c>
      <c r="D313" s="1" t="s">
        <v>1100</v>
      </c>
      <c r="E313" s="1" t="s">
        <v>90</v>
      </c>
      <c r="F313" s="1" t="s">
        <v>74</v>
      </c>
      <c r="G313" s="1" t="s">
        <v>1102</v>
      </c>
      <c r="H313" s="1" t="s">
        <v>71</v>
      </c>
      <c r="I313">
        <v>1</v>
      </c>
      <c r="J313" t="s">
        <v>262</v>
      </c>
      <c r="K313" s="1" t="s">
        <v>1106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Special[[#This Row],[服装]]&amp;Special[[#This Row],[名前]]&amp;Special[[#This Row],[レアリティ]]</f>
        <v>ユニフォーム越後栄ICONIC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108</v>
      </c>
      <c r="D314" s="1" t="s">
        <v>1136</v>
      </c>
      <c r="E314" s="1" t="s">
        <v>90</v>
      </c>
      <c r="F314" s="1" t="s">
        <v>80</v>
      </c>
      <c r="G314" s="1" t="s">
        <v>1102</v>
      </c>
      <c r="H314" s="1" t="s">
        <v>71</v>
      </c>
      <c r="I314">
        <v>1</v>
      </c>
      <c r="J314" t="s">
        <v>262</v>
      </c>
      <c r="K314" s="1" t="s">
        <v>196</v>
      </c>
      <c r="L314" s="1" t="s">
        <v>173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ユニフォーム貝掛亮文ICONIC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108</v>
      </c>
      <c r="D315" s="1" t="s">
        <v>1147</v>
      </c>
      <c r="E315" s="1" t="s">
        <v>73</v>
      </c>
      <c r="F315" s="1" t="s">
        <v>78</v>
      </c>
      <c r="G315" s="1" t="s">
        <v>1102</v>
      </c>
      <c r="H315" s="1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ユニフォーム丸山一喜ICONIC</v>
      </c>
    </row>
    <row r="316" spans="1:20" x14ac:dyDescent="0.35">
      <c r="A316">
        <f>VLOOKUP(Special[[#This Row],[No用]],SetNo[[No.用]:[vlookup 用]],2,FALSE)</f>
        <v>193</v>
      </c>
      <c r="B316">
        <f>IF(ROW()=2,1,IF(A315&lt;&gt;Special[[#This Row],[No]],1,B315+1))</f>
        <v>1</v>
      </c>
      <c r="C316" s="1" t="s">
        <v>108</v>
      </c>
      <c r="D316" s="1" t="s">
        <v>1152</v>
      </c>
      <c r="E316" s="1" t="s">
        <v>90</v>
      </c>
      <c r="F316" s="1" t="s">
        <v>78</v>
      </c>
      <c r="G316" s="1" t="s">
        <v>1102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8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ユニフォーム舞子侑志ICONIC</v>
      </c>
    </row>
    <row r="317" spans="1:20" x14ac:dyDescent="0.35">
      <c r="A317">
        <f>VLOOKUP(Special[[#This Row],[No用]],SetNo[[No.用]:[vlookup 用]],2,FALSE)</f>
        <v>194</v>
      </c>
      <c r="B317">
        <f>IF(ROW()=2,1,IF(A316&lt;&gt;Special[[#This Row],[No]],1,B316+1))</f>
        <v>1</v>
      </c>
      <c r="C317" s="1" t="s">
        <v>108</v>
      </c>
      <c r="D317" s="1" t="s">
        <v>1110</v>
      </c>
      <c r="E317" s="1" t="s">
        <v>90</v>
      </c>
      <c r="F317" s="1" t="s">
        <v>78</v>
      </c>
      <c r="G317" s="1" t="s">
        <v>1102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ユニフォーム寺泊基希ICONIC</v>
      </c>
    </row>
    <row r="318" spans="1:20" x14ac:dyDescent="0.35">
      <c r="A318">
        <f>VLOOKUP(Special[[#This Row],[No用]],SetNo[[No.用]:[vlookup 用]],2,FALSE)</f>
        <v>194</v>
      </c>
      <c r="B318">
        <f>IF(ROW()=2,1,IF(A317&lt;&gt;Special[[#This Row],[No]],1,B317+1))</f>
        <v>2</v>
      </c>
      <c r="C318" s="1" t="s">
        <v>108</v>
      </c>
      <c r="D318" s="1" t="s">
        <v>1110</v>
      </c>
      <c r="E318" s="1" t="s">
        <v>90</v>
      </c>
      <c r="F318" s="1" t="s">
        <v>78</v>
      </c>
      <c r="G318" s="1" t="s">
        <v>1102</v>
      </c>
      <c r="H318" s="1" t="s">
        <v>71</v>
      </c>
      <c r="I318">
        <v>1</v>
      </c>
      <c r="J318" t="s">
        <v>262</v>
      </c>
      <c r="K318" s="1" t="s">
        <v>282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ユニフォーム寺泊基希ICONIC</v>
      </c>
    </row>
    <row r="319" spans="1:20" x14ac:dyDescent="0.35">
      <c r="A319">
        <f>VLOOKUP(Special[[#This Row],[No用]],SetNo[[No.用]:[vlookup 用]],2,FALSE)</f>
        <v>195</v>
      </c>
      <c r="B319">
        <f>IF(ROW()=2,1,IF(A318&lt;&gt;Special[[#This Row],[No]],1,B318+1))</f>
        <v>1</v>
      </c>
      <c r="C319" t="s">
        <v>108</v>
      </c>
      <c r="D319" t="s">
        <v>283</v>
      </c>
      <c r="E319" t="s">
        <v>77</v>
      </c>
      <c r="F319" t="s">
        <v>78</v>
      </c>
      <c r="G319" t="s">
        <v>134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ユニフォーム星海光来ICONIC</v>
      </c>
    </row>
    <row r="320" spans="1:20" x14ac:dyDescent="0.35">
      <c r="A320">
        <f>VLOOKUP(Special[[#This Row],[No用]],SetNo[[No.用]:[vlookup 用]],2,FALSE)</f>
        <v>195</v>
      </c>
      <c r="B320">
        <f>IF(ROW()=2,1,IF(A319&lt;&gt;Special[[#This Row],[No]],1,B319+1))</f>
        <v>2</v>
      </c>
      <c r="C320" t="s">
        <v>108</v>
      </c>
      <c r="D320" t="s">
        <v>283</v>
      </c>
      <c r="E320" t="s">
        <v>77</v>
      </c>
      <c r="F320" t="s">
        <v>78</v>
      </c>
      <c r="G320" t="s">
        <v>134</v>
      </c>
      <c r="H320" t="s">
        <v>71</v>
      </c>
      <c r="I320">
        <v>1</v>
      </c>
      <c r="J320" t="s">
        <v>262</v>
      </c>
      <c r="K320" s="1" t="s">
        <v>180</v>
      </c>
      <c r="L320" s="1" t="s">
        <v>162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ユニフォーム星海光来ICONIC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3</v>
      </c>
      <c r="C321" t="s">
        <v>108</v>
      </c>
      <c r="D321" t="s">
        <v>283</v>
      </c>
      <c r="E321" t="s">
        <v>77</v>
      </c>
      <c r="F321" t="s">
        <v>78</v>
      </c>
      <c r="G321" t="s">
        <v>134</v>
      </c>
      <c r="H321" t="s">
        <v>71</v>
      </c>
      <c r="I321">
        <v>1</v>
      </c>
      <c r="J321" t="s">
        <v>262</v>
      </c>
      <c r="K321" s="1" t="s">
        <v>193</v>
      </c>
      <c r="L321" s="1" t="s">
        <v>225</v>
      </c>
      <c r="M321">
        <v>51</v>
      </c>
      <c r="N321">
        <v>0</v>
      </c>
      <c r="O321">
        <v>61</v>
      </c>
      <c r="P321">
        <v>0</v>
      </c>
      <c r="T321" t="str">
        <f>Special[[#This Row],[服装]]&amp;Special[[#This Row],[名前]]&amp;Special[[#This Row],[レアリティ]]</f>
        <v>ユニフォーム星海光来ICONIC</v>
      </c>
    </row>
    <row r="322" spans="1:20" x14ac:dyDescent="0.35">
      <c r="A322">
        <f>VLOOKUP(Special[[#This Row],[No用]],SetNo[[No.用]:[vlookup 用]],2,FALSE)</f>
        <v>196</v>
      </c>
      <c r="B322">
        <f>IF(ROW()=2,1,IF(A321&lt;&gt;Special[[#This Row],[No]],1,B321+1))</f>
        <v>1</v>
      </c>
      <c r="C322" s="1" t="s">
        <v>895</v>
      </c>
      <c r="D322" t="s">
        <v>283</v>
      </c>
      <c r="E322" s="1" t="s">
        <v>73</v>
      </c>
      <c r="F322" t="s">
        <v>78</v>
      </c>
      <c r="G322" t="s">
        <v>134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文化祭星海光来ICONIC</v>
      </c>
    </row>
    <row r="323" spans="1:20" x14ac:dyDescent="0.35">
      <c r="A323">
        <f>VLOOKUP(Special[[#This Row],[No用]],SetNo[[No.用]:[vlookup 用]],2,FALSE)</f>
        <v>196</v>
      </c>
      <c r="B323">
        <f>IF(ROW()=2,1,IF(A322&lt;&gt;Special[[#This Row],[No]],1,B322+1))</f>
        <v>2</v>
      </c>
      <c r="C323" s="1" t="s">
        <v>895</v>
      </c>
      <c r="D323" t="s">
        <v>283</v>
      </c>
      <c r="E323" s="1" t="s">
        <v>73</v>
      </c>
      <c r="F323" t="s">
        <v>78</v>
      </c>
      <c r="G323" t="s">
        <v>134</v>
      </c>
      <c r="H323" t="s">
        <v>71</v>
      </c>
      <c r="I323">
        <v>1</v>
      </c>
      <c r="J323" t="s">
        <v>262</v>
      </c>
      <c r="K323" s="1" t="s">
        <v>180</v>
      </c>
      <c r="L323" s="1" t="s">
        <v>162</v>
      </c>
      <c r="M323">
        <v>14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文化祭星海光来ICONIC</v>
      </c>
    </row>
    <row r="324" spans="1:20" x14ac:dyDescent="0.35">
      <c r="A324">
        <f>VLOOKUP(Special[[#This Row],[No用]],SetNo[[No.用]:[vlookup 用]],2,FALSE)</f>
        <v>197</v>
      </c>
      <c r="B324">
        <f>IF(ROW()=2,1,IF(A323&lt;&gt;Special[[#This Row],[No]],1,B323+1))</f>
        <v>1</v>
      </c>
      <c r="C324" s="1" t="s">
        <v>1049</v>
      </c>
      <c r="D324" s="1" t="s">
        <v>283</v>
      </c>
      <c r="E324" s="1" t="s">
        <v>90</v>
      </c>
      <c r="F324" s="1" t="s">
        <v>78</v>
      </c>
      <c r="G324" s="1" t="s">
        <v>134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サバゲ星海光来ICONIC</v>
      </c>
    </row>
    <row r="325" spans="1:20" x14ac:dyDescent="0.35">
      <c r="A325">
        <f>VLOOKUP(Special[[#This Row],[No用]],SetNo[[No.用]:[vlookup 用]],2,FALSE)</f>
        <v>197</v>
      </c>
      <c r="B325">
        <f>IF(ROW()=2,1,IF(A324&lt;&gt;Special[[#This Row],[No]],1,B324+1))</f>
        <v>2</v>
      </c>
      <c r="C325" s="1" t="s">
        <v>1049</v>
      </c>
      <c r="D325" s="1" t="s">
        <v>283</v>
      </c>
      <c r="E325" s="1" t="s">
        <v>90</v>
      </c>
      <c r="F325" s="1" t="s">
        <v>78</v>
      </c>
      <c r="G325" s="1" t="s">
        <v>134</v>
      </c>
      <c r="H325" s="1" t="s">
        <v>71</v>
      </c>
      <c r="I325">
        <v>1</v>
      </c>
      <c r="J325" t="s">
        <v>262</v>
      </c>
      <c r="K325" s="1" t="s">
        <v>180</v>
      </c>
      <c r="L325" s="1" t="s">
        <v>162</v>
      </c>
      <c r="M325">
        <v>14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サバゲ星海光来ICONIC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3</v>
      </c>
      <c r="C326" s="1" t="s">
        <v>1049</v>
      </c>
      <c r="D326" s="1" t="s">
        <v>283</v>
      </c>
      <c r="E326" s="1" t="s">
        <v>90</v>
      </c>
      <c r="F326" s="1" t="s">
        <v>78</v>
      </c>
      <c r="G326" s="1" t="s">
        <v>134</v>
      </c>
      <c r="H326" s="1" t="s">
        <v>71</v>
      </c>
      <c r="I326">
        <v>1</v>
      </c>
      <c r="J326" t="s">
        <v>262</v>
      </c>
      <c r="K326" s="1" t="s">
        <v>1052</v>
      </c>
      <c r="L326" s="1" t="s">
        <v>225</v>
      </c>
      <c r="M326">
        <v>48</v>
      </c>
      <c r="N326">
        <v>0</v>
      </c>
      <c r="O326">
        <v>58</v>
      </c>
      <c r="P326">
        <v>0</v>
      </c>
      <c r="T326" t="str">
        <f>Special[[#This Row],[服装]]&amp;Special[[#This Row],[名前]]&amp;Special[[#This Row],[レアリティ]]</f>
        <v>サバゲ星海光来ICONIC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t="s">
        <v>108</v>
      </c>
      <c r="D327" t="s">
        <v>133</v>
      </c>
      <c r="E327" t="s">
        <v>77</v>
      </c>
      <c r="F327" t="s">
        <v>82</v>
      </c>
      <c r="G327" t="s">
        <v>134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12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ユニフォーム昼神幸郎ICONIC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1</v>
      </c>
      <c r="C328" s="1" t="s">
        <v>915</v>
      </c>
      <c r="D328" t="s">
        <v>133</v>
      </c>
      <c r="E328" s="1" t="s">
        <v>73</v>
      </c>
      <c r="F328" t="s">
        <v>82</v>
      </c>
      <c r="G328" t="s">
        <v>134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12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Xmas昼神幸郎ICONIC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2</v>
      </c>
      <c r="C329" s="1" t="s">
        <v>915</v>
      </c>
      <c r="D329" t="s">
        <v>133</v>
      </c>
      <c r="E329" s="1" t="s">
        <v>73</v>
      </c>
      <c r="F329" t="s">
        <v>82</v>
      </c>
      <c r="G329" t="s">
        <v>134</v>
      </c>
      <c r="H329" t="s">
        <v>71</v>
      </c>
      <c r="I329">
        <v>1</v>
      </c>
      <c r="J329" t="s">
        <v>262</v>
      </c>
      <c r="K329" s="1" t="s">
        <v>919</v>
      </c>
      <c r="L329" s="1" t="s">
        <v>225</v>
      </c>
      <c r="M329">
        <v>48</v>
      </c>
      <c r="N329">
        <v>0</v>
      </c>
      <c r="O329">
        <v>58</v>
      </c>
      <c r="P329">
        <v>0</v>
      </c>
      <c r="T329" t="str">
        <f>Special[[#This Row],[服装]]&amp;Special[[#This Row],[名前]]&amp;Special[[#This Row],[レアリティ]]</f>
        <v>Xmas昼神幸郎ICONIC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t="s">
        <v>108</v>
      </c>
      <c r="D330" t="s">
        <v>131</v>
      </c>
      <c r="E330" t="s">
        <v>77</v>
      </c>
      <c r="F330" t="s">
        <v>78</v>
      </c>
      <c r="G330" t="s">
        <v>135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ユニフォーム佐久早聖臣ICONIC</v>
      </c>
    </row>
    <row r="331" spans="1:20" x14ac:dyDescent="0.35">
      <c r="A331">
        <f>VLOOKUP(Special[[#This Row],[No用]],SetNo[[No.用]:[vlookup 用]],2,FALSE)</f>
        <v>200</v>
      </c>
      <c r="B331">
        <f>IF(ROW()=2,1,IF(A330&lt;&gt;Special[[#This Row],[No]],1,B330+1))</f>
        <v>2</v>
      </c>
      <c r="C331" t="s">
        <v>108</v>
      </c>
      <c r="D331" t="s">
        <v>131</v>
      </c>
      <c r="E331" t="s">
        <v>77</v>
      </c>
      <c r="F331" t="s">
        <v>78</v>
      </c>
      <c r="G331" t="s">
        <v>135</v>
      </c>
      <c r="H331" t="s">
        <v>71</v>
      </c>
      <c r="I331">
        <v>1</v>
      </c>
      <c r="J331" t="s">
        <v>262</v>
      </c>
      <c r="K331" s="1" t="s">
        <v>193</v>
      </c>
      <c r="L331" s="1" t="s">
        <v>225</v>
      </c>
      <c r="M331">
        <v>51</v>
      </c>
      <c r="N331">
        <v>0</v>
      </c>
      <c r="O331">
        <v>61</v>
      </c>
      <c r="P331">
        <v>0</v>
      </c>
      <c r="T331" t="str">
        <f>Special[[#This Row],[服装]]&amp;Special[[#This Row],[名前]]&amp;Special[[#This Row],[レアリティ]]</f>
        <v>ユニフォーム佐久早聖臣ICONIC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1</v>
      </c>
      <c r="C332" s="1" t="s">
        <v>1049</v>
      </c>
      <c r="D332" s="1" t="s">
        <v>131</v>
      </c>
      <c r="E332" s="1" t="s">
        <v>73</v>
      </c>
      <c r="F332" s="1" t="s">
        <v>78</v>
      </c>
      <c r="G332" s="1" t="s">
        <v>135</v>
      </c>
      <c r="H332" s="1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サバゲ佐久早聖臣ICONIC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1</v>
      </c>
      <c r="C333" t="s">
        <v>108</v>
      </c>
      <c r="D333" t="s">
        <v>132</v>
      </c>
      <c r="E333" t="s">
        <v>77</v>
      </c>
      <c r="F333" t="s">
        <v>80</v>
      </c>
      <c r="G333" t="s">
        <v>135</v>
      </c>
      <c r="H333" t="s">
        <v>71</v>
      </c>
      <c r="I333">
        <v>1</v>
      </c>
      <c r="J333" t="s">
        <v>406</v>
      </c>
      <c r="K333" s="1" t="s">
        <v>272</v>
      </c>
      <c r="L333" s="1" t="s">
        <v>173</v>
      </c>
      <c r="M333">
        <v>32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ユニフォーム小森元也ICONIC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2</v>
      </c>
      <c r="C334" t="s">
        <v>108</v>
      </c>
      <c r="D334" t="s">
        <v>132</v>
      </c>
      <c r="E334" t="s">
        <v>77</v>
      </c>
      <c r="F334" t="s">
        <v>80</v>
      </c>
      <c r="G334" t="s">
        <v>135</v>
      </c>
      <c r="H334" t="s">
        <v>71</v>
      </c>
      <c r="I334">
        <v>1</v>
      </c>
      <c r="J334" t="s">
        <v>406</v>
      </c>
      <c r="K334" s="1" t="s">
        <v>196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Special[[#This Row],[服装]]&amp;Special[[#This Row],[名前]]&amp;Special[[#This Row],[レアリティ]]</f>
        <v>ユニフォーム小森元也ICONIC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t="s">
        <v>108</v>
      </c>
      <c r="D335" s="1" t="s">
        <v>687</v>
      </c>
      <c r="E335" s="1" t="s">
        <v>90</v>
      </c>
      <c r="F335" s="1" t="s">
        <v>78</v>
      </c>
      <c r="G335" s="1" t="s">
        <v>689</v>
      </c>
      <c r="H335" t="s">
        <v>71</v>
      </c>
      <c r="I335">
        <v>1</v>
      </c>
      <c r="J335" t="s">
        <v>406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ユニフォーム大将優ICONIC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t="s">
        <v>108</v>
      </c>
      <c r="D336" s="1" t="s">
        <v>687</v>
      </c>
      <c r="E336" s="1" t="s">
        <v>90</v>
      </c>
      <c r="F336" s="1" t="s">
        <v>78</v>
      </c>
      <c r="G336" s="1" t="s">
        <v>689</v>
      </c>
      <c r="H336" t="s">
        <v>71</v>
      </c>
      <c r="I336">
        <v>1</v>
      </c>
      <c r="J336" t="s">
        <v>406</v>
      </c>
      <c r="K336" s="1" t="s">
        <v>193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Special[[#This Row],[服装]]&amp;Special[[#This Row],[名前]]&amp;Special[[#This Row],[レアリティ]]</f>
        <v>ユニフォーム大将優ICONIC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s="1" t="s">
        <v>935</v>
      </c>
      <c r="D337" s="1" t="s">
        <v>687</v>
      </c>
      <c r="E337" s="1" t="s">
        <v>77</v>
      </c>
      <c r="F337" s="1" t="s">
        <v>78</v>
      </c>
      <c r="G337" s="1" t="s">
        <v>689</v>
      </c>
      <c r="H337" s="1" t="s">
        <v>690</v>
      </c>
      <c r="I337">
        <v>1</v>
      </c>
      <c r="J337" t="s">
        <v>406</v>
      </c>
      <c r="K337" s="1" t="s">
        <v>191</v>
      </c>
      <c r="L337" s="1" t="s">
        <v>162</v>
      </c>
      <c r="M337">
        <v>14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新年大将優ICONIC</v>
      </c>
    </row>
    <row r="338" spans="1:20" x14ac:dyDescent="0.35">
      <c r="A338">
        <f>VLOOKUP(Special[[#This Row],[No用]],SetNo[[No.用]:[vlookup 用]],2,FALSE)</f>
        <v>205</v>
      </c>
      <c r="B338">
        <f>IF(ROW()=2,1,IF(A337&lt;&gt;Special[[#This Row],[No]],1,B337+1))</f>
        <v>1</v>
      </c>
      <c r="C338" t="s">
        <v>108</v>
      </c>
      <c r="D338" s="1" t="s">
        <v>692</v>
      </c>
      <c r="E338" s="1" t="s">
        <v>90</v>
      </c>
      <c r="F338" s="1" t="s">
        <v>78</v>
      </c>
      <c r="G338" s="1" t="s">
        <v>689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ユニフォーム沼井和馬ICONIC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2</v>
      </c>
      <c r="C339" t="s">
        <v>108</v>
      </c>
      <c r="D339" s="1" t="s">
        <v>692</v>
      </c>
      <c r="E339" s="1" t="s">
        <v>90</v>
      </c>
      <c r="F339" s="1" t="s">
        <v>78</v>
      </c>
      <c r="G339" s="1" t="s">
        <v>689</v>
      </c>
      <c r="H339" t="s">
        <v>71</v>
      </c>
      <c r="I339">
        <v>1</v>
      </c>
      <c r="J339" t="s">
        <v>406</v>
      </c>
      <c r="K339" s="1" t="s">
        <v>278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Special[[#This Row],[服装]]&amp;Special[[#This Row],[名前]]&amp;Special[[#This Row],[レアリティ]]</f>
        <v>ユニフォーム沼井和馬ICONIC</v>
      </c>
    </row>
    <row r="340" spans="1:20" x14ac:dyDescent="0.35">
      <c r="A340">
        <f>VLOOKUP(Special[[#This Row],[No用]],SetNo[[No.用]:[vlookup 用]],2,FALSE)</f>
        <v>206</v>
      </c>
      <c r="B340">
        <f>IF(ROW()=2,1,IF(A339&lt;&gt;Special[[#This Row],[No]],1,B339+1))</f>
        <v>1</v>
      </c>
      <c r="C340" t="s">
        <v>108</v>
      </c>
      <c r="D340" s="1" t="s">
        <v>858</v>
      </c>
      <c r="E340" s="1" t="s">
        <v>90</v>
      </c>
      <c r="F340" s="1" t="s">
        <v>78</v>
      </c>
      <c r="G340" s="1" t="s">
        <v>689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ユニフォーム潜尚保ICONIC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2</v>
      </c>
      <c r="C341" t="s">
        <v>108</v>
      </c>
      <c r="D341" s="1" t="s">
        <v>858</v>
      </c>
      <c r="E341" s="1" t="s">
        <v>90</v>
      </c>
      <c r="F341" s="1" t="s">
        <v>78</v>
      </c>
      <c r="G341" s="1" t="s">
        <v>689</v>
      </c>
      <c r="H341" t="s">
        <v>71</v>
      </c>
      <c r="I341">
        <v>1</v>
      </c>
      <c r="J341" t="s">
        <v>406</v>
      </c>
      <c r="K341" s="1" t="s">
        <v>272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ユニフォーム潜尚保ICONIC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1</v>
      </c>
      <c r="C342" s="1" t="s">
        <v>1165</v>
      </c>
      <c r="D342" s="1" t="s">
        <v>858</v>
      </c>
      <c r="E342" s="1" t="s">
        <v>77</v>
      </c>
      <c r="F342" s="1" t="s">
        <v>78</v>
      </c>
      <c r="G342" s="1" t="s">
        <v>689</v>
      </c>
      <c r="H342" s="1" t="s">
        <v>690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バーガー潜尚保ICONIC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2</v>
      </c>
      <c r="C343" s="1" t="s">
        <v>1165</v>
      </c>
      <c r="D343" s="1" t="s">
        <v>858</v>
      </c>
      <c r="E343" s="1" t="s">
        <v>77</v>
      </c>
      <c r="F343" s="1" t="s">
        <v>78</v>
      </c>
      <c r="G343" s="1" t="s">
        <v>689</v>
      </c>
      <c r="H343" s="1" t="s">
        <v>690</v>
      </c>
      <c r="I343">
        <v>1</v>
      </c>
      <c r="J343" t="s">
        <v>406</v>
      </c>
      <c r="K343" s="1" t="s">
        <v>272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バーガー潜尚保ICONIC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1</v>
      </c>
      <c r="C344" t="s">
        <v>108</v>
      </c>
      <c r="D344" s="1" t="s">
        <v>860</v>
      </c>
      <c r="E344" s="1" t="s">
        <v>90</v>
      </c>
      <c r="F344" s="1" t="s">
        <v>78</v>
      </c>
      <c r="G344" s="1" t="s">
        <v>689</v>
      </c>
      <c r="H344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ユニフォーム高千穂恵也ICONIC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2</v>
      </c>
      <c r="C345" t="s">
        <v>108</v>
      </c>
      <c r="D345" s="1" t="s">
        <v>860</v>
      </c>
      <c r="E345" s="1" t="s">
        <v>90</v>
      </c>
      <c r="F345" s="1" t="s">
        <v>78</v>
      </c>
      <c r="G345" s="1" t="s">
        <v>689</v>
      </c>
      <c r="H345" t="s">
        <v>71</v>
      </c>
      <c r="I345">
        <v>1</v>
      </c>
      <c r="J345" t="s">
        <v>406</v>
      </c>
      <c r="K345" s="1" t="s">
        <v>180</v>
      </c>
      <c r="L345" s="1" t="s">
        <v>173</v>
      </c>
      <c r="M345">
        <v>29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ユニフォーム高千穂恵也ICONIC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1</v>
      </c>
      <c r="C346" t="s">
        <v>108</v>
      </c>
      <c r="D346" s="1" t="s">
        <v>862</v>
      </c>
      <c r="E346" s="1" t="s">
        <v>90</v>
      </c>
      <c r="F346" s="1" t="s">
        <v>82</v>
      </c>
      <c r="G346" s="1" t="s">
        <v>689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ユニフォーム広尾倖児ICONIC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2</v>
      </c>
      <c r="C347" t="s">
        <v>108</v>
      </c>
      <c r="D347" s="1" t="s">
        <v>862</v>
      </c>
      <c r="E347" s="1" t="s">
        <v>90</v>
      </c>
      <c r="F347" s="1" t="s">
        <v>82</v>
      </c>
      <c r="G347" s="1" t="s">
        <v>689</v>
      </c>
      <c r="H347" t="s">
        <v>71</v>
      </c>
      <c r="I347">
        <v>1</v>
      </c>
      <c r="J347" t="s">
        <v>262</v>
      </c>
      <c r="K347" s="1" t="s">
        <v>282</v>
      </c>
      <c r="L347" s="1" t="s">
        <v>173</v>
      </c>
      <c r="M347">
        <v>24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ユニフォーム広尾倖児ICONIC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1</v>
      </c>
      <c r="C348" t="s">
        <v>108</v>
      </c>
      <c r="D348" s="1" t="s">
        <v>864</v>
      </c>
      <c r="E348" s="1" t="s">
        <v>90</v>
      </c>
      <c r="F348" s="1" t="s">
        <v>74</v>
      </c>
      <c r="G348" s="1" t="s">
        <v>689</v>
      </c>
      <c r="H348" t="s">
        <v>71</v>
      </c>
      <c r="I348">
        <v>1</v>
      </c>
      <c r="J348" t="s">
        <v>406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ユニフォーム先島伊澄ICONIC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1</v>
      </c>
      <c r="C349" t="s">
        <v>108</v>
      </c>
      <c r="D349" s="1" t="s">
        <v>866</v>
      </c>
      <c r="E349" s="1" t="s">
        <v>90</v>
      </c>
      <c r="F349" s="1" t="s">
        <v>82</v>
      </c>
      <c r="G349" s="1" t="s">
        <v>689</v>
      </c>
      <c r="H349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ユニフォーム背黒晃彦ICONIC</v>
      </c>
    </row>
    <row r="350" spans="1:20" x14ac:dyDescent="0.35">
      <c r="A350">
        <f>VLOOKUP(Special[[#This Row],[No用]],SetNo[[No.用]:[vlookup 用]],2,FALSE)</f>
        <v>212</v>
      </c>
      <c r="B350">
        <f>IF(ROW()=2,1,IF(A349&lt;&gt;Special[[#This Row],[No]],1,B349+1))</f>
        <v>1</v>
      </c>
      <c r="C350" t="s">
        <v>108</v>
      </c>
      <c r="D350" s="1" t="s">
        <v>868</v>
      </c>
      <c r="E350" s="1" t="s">
        <v>90</v>
      </c>
      <c r="F350" s="1" t="s">
        <v>80</v>
      </c>
      <c r="G350" s="1" t="s">
        <v>689</v>
      </c>
      <c r="H350" t="s">
        <v>71</v>
      </c>
      <c r="I350">
        <v>1</v>
      </c>
      <c r="J350" t="s">
        <v>406</v>
      </c>
      <c r="K350" s="1" t="s">
        <v>196</v>
      </c>
      <c r="L350" s="1" t="s">
        <v>173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3"/>
  <sheetViews>
    <sheetView topLeftCell="F149" zoomScaleNormal="100" workbookViewId="0">
      <selection activeCell="F21" sqref="A21:XFD21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93.736880891036378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106.18282271013075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96.845128587792516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94.700437677030777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109.55527146111116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99.89121133061353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92.773324105041979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111.80357062843143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99.89121133061353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94.700437677030777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106.18282271013075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100.10878866938647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104.33600553697481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97.18962604084966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102.50213939588869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107.22667589495802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98.313775624509802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105.5482221387097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109.15378946694682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96.065476457189519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105.5482221387097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109.15378946694682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99.437925208169929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107.723995526439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108.19023268095242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100.56207479183007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107.723995526439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93.736880891036378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110.6794210447713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97.280283265338383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94.700437677030777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114.05186979575171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100.3263660081594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96.627551249019589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111.80357062843143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100.3263660081594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92.773324105041979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117.42431854673211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100.54394334693232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104.33600553697481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100.56207479183007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97.49786060411131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107.22667589495802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103.93452354281048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100.54394334693232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109.15378946694682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101.6862243754902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100.54394334693232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91.80976731904758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91.568878122548981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99.020901975521824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92.773324105041979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92.693027706209108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102.06698471834284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92.773324105041979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92.693027706209108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104.24275810607213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92.773324105041979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92.693027706209108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104.0251807672992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131.79737393781528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98.554664821008402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98.313775624509802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94.016623183744429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98.072886428011188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101.4453351789916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99.437925208169929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97.062705926565457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98.554664821008402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100.56207479183007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97.062705926565457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99.518221607002801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102.81037395915034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97.280283265338383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102.89067035798321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97.591108035013988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98.313775624509802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104.0251807672992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111.56268143193283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100.4817783929972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99.437925208169929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107.07126351012022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98.554664821008402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100.56207479183007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107.07126351012022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103.37244875098041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97.18962604084966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107.28884084889314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115.41690857591044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96.627551249019589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98.313775624509802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100.54394334693232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97.109329642016789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99.518221607002801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99.437925208169929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103.59002608975334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99.036443214005601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101.4453351789916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97.18962604084966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103.59002608975334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100.9635567859944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東峰旭</v>
      </c>
      <c r="D33" t="str">
        <f>IFERROR(Stat[[#This Row],[じゃんけん]],"")</f>
        <v>チョキ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ユニフォーム東峰旭ICONIC</v>
      </c>
      <c r="I33" s="11">
        <f>IF(RZS_100[[#This Row],[名前]]="","",(100+((VLOOKUP(RZS_100[[#This Row],[No用]],Q_Stat[],13,FALSE)-Statistics100!B$6)*5)/Statistics100!B$13))</f>
        <v>104.49659833464055</v>
      </c>
      <c r="J33" s="11">
        <f>IF(RZS_100[[#This Row],[名前]]="","",(100+((VLOOKUP(RZS_100[[#This Row],[No用]],Q_Stat[],14,FALSE)-Statistics100!C$6)*5)/Statistics100!C$13))</f>
        <v>106.26311910896362</v>
      </c>
      <c r="K33" s="11">
        <f>IF(RZS_100[[#This Row],[名前]]="","",(100+((VLOOKUP(RZS_100[[#This Row],[No用]],Q_Stat[],15,FALSE)-Statistics100!D$6)*5)/Statistics100!D$13))</f>
        <v>98.875850416339858</v>
      </c>
      <c r="L33" s="11">
        <f>IF(RZS_100[[#This Row],[名前]]="","",(100+((VLOOKUP(RZS_100[[#This Row],[No用]],Q_Stat[],16,FALSE)-Statistics100!E$6)*5)/Statistics100!E$13))</f>
        <v>98.313775624509802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103.93452354281048</v>
      </c>
      <c r="O33" s="11">
        <f>IF(RZS_100[[#This Row],[名前]]="","",(100+((VLOOKUP(RZS_100[[#This Row],[No用]],Q_Stat[],19,FALSE)-Statistics100!H$6)*5)/Statistics100!H$13))</f>
        <v>97.302040999215677</v>
      </c>
      <c r="P33" s="11">
        <f>IF(RZS_100[[#This Row],[名前]]="","",(100+((VLOOKUP(RZS_100[[#This Row],[No用]],Q_Stat[],20,FALSE)-Statistics100!I$6)*5)/Statistics100!I$13))</f>
        <v>95.503401665359448</v>
      </c>
      <c r="Q33" s="11">
        <f>IF(RZS_100[[#This Row],[名前]]="","",(100+((VLOOKUP(RZS_100[[#This Row],[No用]],Q_Stat[],21,FALSE)-Statistics100!J$6)*5)/Statistics100!J$13))</f>
        <v>94.941326873529391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98.36816995920303</v>
      </c>
      <c r="T33" s="11">
        <f>IF(RZS_100[[#This Row],[名前]]="","",(100+((VLOOKUP(RZS_100[[#This Row],[No用]],Q_Stat[],26,FALSE)-Statistics100!M$6)*5)/Statistics100!M$13))</f>
        <v>103.37244875098041</v>
      </c>
      <c r="U33" s="11">
        <f>IF(RZS_100[[#This Row],[名前]]="","",(100+((VLOOKUP(RZS_100[[#This Row],[No用]],Q_Stat[],27,FALSE)-Statistics100!N$6)*5)/Statistics100!N$13))</f>
        <v>101.4453351789916</v>
      </c>
      <c r="V33" s="11">
        <f>IF(RZS_100[[#This Row],[名前]]="","",(100+((VLOOKUP(RZS_100[[#This Row],[No用]],Q_Stat[],28,FALSE)-Statistics100!O$6)*5)/Statistics100!O$13))</f>
        <v>98.875850416339858</v>
      </c>
      <c r="W33" s="11">
        <f>IF(RZS_100[[#This Row],[名前]]="","",(100+((VLOOKUP(RZS_100[[#This Row],[No用]],Q_Stat[],29,FALSE)-Statistics100!P$6)*5)/Statistics100!P$13))</f>
        <v>95.182216070027991</v>
      </c>
      <c r="X33" s="11">
        <f>IF(RZS_100[[#This Row],[名前]]="","",(100+((VLOOKUP(RZS_100[[#This Row],[No用]],Q_Stat[],30,FALSE)-Statistics100!Q$6)*5)/Statistics100!Q$13))</f>
        <v>100.67448975019609</v>
      </c>
    </row>
    <row r="34" spans="1:24" x14ac:dyDescent="0.35">
      <c r="A34">
        <f>IFERROR(Stat[[#This Row],[No.]],"")</f>
        <v>33</v>
      </c>
      <c r="B34" t="str">
        <f>IFERROR(Stat[[#This Row],[服装]],"")</f>
        <v>プール掃除</v>
      </c>
      <c r="C34" t="str">
        <f>IFERROR(Stat[[#This Row],[名前]],"")</f>
        <v>東峰旭</v>
      </c>
      <c r="D34" t="str">
        <f>IFERROR(Stat[[#This Row],[じゃんけん]],"")</f>
        <v>グー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プール掃除東峰旭ICONIC</v>
      </c>
      <c r="I34" s="11">
        <f>IF(RZS_100[[#This Row],[名前]]="","",(100+((VLOOKUP(RZS_100[[#This Row],[No用]],Q_Stat[],13,FALSE)-Statistics100!B$6)*5)/Statistics100!B$13))</f>
        <v>102.24829916732027</v>
      </c>
      <c r="J34" s="11">
        <f>IF(RZS_100[[#This Row],[名前]]="","",(100+((VLOOKUP(RZS_100[[#This Row],[No用]],Q_Stat[],14,FALSE)-Statistics100!C$6)*5)/Statistics100!C$13))</f>
        <v>105.29956232296922</v>
      </c>
      <c r="K34" s="11">
        <f>IF(RZS_100[[#This Row],[名前]]="","",(100+((VLOOKUP(RZS_100[[#This Row],[No用]],Q_Stat[],15,FALSE)-Statistics100!D$6)*5)/Statistics100!D$13))</f>
        <v>95.503401665359448</v>
      </c>
      <c r="L34" s="11">
        <f>IF(RZS_100[[#This Row],[名前]]="","",(100+((VLOOKUP(RZS_100[[#This Row],[No用]],Q_Stat[],16,FALSE)-Statistics100!E$6)*5)/Statistics100!E$13))</f>
        <v>96.627551249019589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100.56207479183007</v>
      </c>
      <c r="O34" s="11">
        <f>IF(RZS_100[[#This Row],[名前]]="","",(100+((VLOOKUP(RZS_100[[#This Row],[No用]],Q_Stat[],19,FALSE)-Statistics100!H$6)*5)/Statistics100!H$13))</f>
        <v>93.255102498039179</v>
      </c>
      <c r="P34" s="11">
        <f>IF(RZS_100[[#This Row],[名前]]="","",(100+((VLOOKUP(RZS_100[[#This Row],[No用]],Q_Stat[],20,FALSE)-Statistics100!I$6)*5)/Statistics100!I$13))</f>
        <v>88.758504163398641</v>
      </c>
      <c r="Q34" s="11">
        <f>IF(RZS_100[[#This Row],[名前]]="","",(100+((VLOOKUP(RZS_100[[#This Row],[No用]],Q_Stat[],21,FALSE)-Statistics100!J$6)*5)/Statistics100!J$13))</f>
        <v>89.882653747058768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94.016623183744429</v>
      </c>
      <c r="T34" s="11">
        <f>IF(RZS_100[[#This Row],[名前]]="","",(100+((VLOOKUP(RZS_100[[#This Row],[No用]],Q_Stat[],26,FALSE)-Statistics100!M$6)*5)/Statistics100!M$13))</f>
        <v>101.34897950039216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95.503401665359448</v>
      </c>
      <c r="W34" s="11">
        <f>IF(RZS_100[[#This Row],[名前]]="","",(100+((VLOOKUP(RZS_100[[#This Row],[No用]],Q_Stat[],29,FALSE)-Statistics100!P$6)*5)/Statistics100!P$13))</f>
        <v>89.400875354061569</v>
      </c>
      <c r="X34" s="11">
        <f>IF(RZS_100[[#This Row],[名前]]="","",(100+((VLOOKUP(RZS_100[[#This Row],[No用]],Q_Stat[],30,FALSE)-Statistics100!Q$6)*5)/Statistics100!Q$13))</f>
        <v>96.627551249019589</v>
      </c>
    </row>
    <row r="35" spans="1:24" x14ac:dyDescent="0.35">
      <c r="A35">
        <f>IFERROR(Stat[[#This Row],[No.]],"")</f>
        <v>34</v>
      </c>
      <c r="B35" t="str">
        <f>IFERROR(Stat[[#This Row],[服装]],"")</f>
        <v>サバゲ</v>
      </c>
      <c r="C35" t="str">
        <f>IFERROR(Stat[[#This Row],[名前]],"")</f>
        <v>東峰旭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サバゲ東峰旭ICONIC</v>
      </c>
      <c r="I35" s="11">
        <f>IF(RZS_100[[#This Row],[名前]]="","",(100+((VLOOKUP(RZS_100[[#This Row],[No用]],Q_Stat[],13,FALSE)-Statistics100!B$6)*5)/Statistics100!B$13))</f>
        <v>108.99319666928109</v>
      </c>
      <c r="J35" s="11">
        <f>IF(RZS_100[[#This Row],[名前]]="","",(100+((VLOOKUP(RZS_100[[#This Row],[No用]],Q_Stat[],14,FALSE)-Statistics100!C$6)*5)/Statistics100!C$13))</f>
        <v>106.26311910896362</v>
      </c>
      <c r="K35" s="11">
        <f>IF(RZS_100[[#This Row],[名前]]="","",(100+((VLOOKUP(RZS_100[[#This Row],[No用]],Q_Stat[],15,FALSE)-Statistics100!D$6)*5)/Statistics100!D$13))</f>
        <v>100</v>
      </c>
      <c r="L35" s="11">
        <f>IF(RZS_100[[#This Row],[名前]]="","",(100+((VLOOKUP(RZS_100[[#This Row],[No用]],Q_Stat[],16,FALSE)-Statistics100!E$6)*5)/Statistics100!E$13))</f>
        <v>94.941326873529391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106.18282271013075</v>
      </c>
      <c r="O35" s="11">
        <f>IF(RZS_100[[#This Row],[名前]]="","",(100+((VLOOKUP(RZS_100[[#This Row],[No用]],Q_Stat[],19,FALSE)-Statistics100!H$6)*5)/Statistics100!H$13))</f>
        <v>98.651020499607839</v>
      </c>
      <c r="P35" s="11">
        <f>IF(RZS_100[[#This Row],[名前]]="","",(100+((VLOOKUP(RZS_100[[#This Row],[No用]],Q_Stat[],20,FALSE)-Statistics100!I$6)*5)/Statistics100!I$13))</f>
        <v>106.74489750196082</v>
      </c>
      <c r="Q35" s="11">
        <f>IF(RZS_100[[#This Row],[名前]]="","",(100+((VLOOKUP(RZS_100[[#This Row],[No用]],Q_Stat[],21,FALSE)-Statistics100!J$6)*5)/Statistics100!J$13))</f>
        <v>96.627551249019589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101.41425270202404</v>
      </c>
      <c r="T35" s="11">
        <f>IF(RZS_100[[#This Row],[名前]]="","",(100+((VLOOKUP(RZS_100[[#This Row],[No用]],Q_Stat[],26,FALSE)-Statistics100!M$6)*5)/Statistics100!M$13))</f>
        <v>107.41938725215689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97.109329642016789</v>
      </c>
      <c r="X35" s="11">
        <f>IF(RZS_100[[#This Row],[名前]]="","",(100+((VLOOKUP(RZS_100[[#This Row],[No用]],Q_Stat[],30,FALSE)-Statistics100!Q$6)*5)/Statistics100!Q$13))</f>
        <v>105.39591800156866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東峰旭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YELL</v>
      </c>
      <c r="H36" t="str">
        <f>IFERROR(SetNo[[#This Row],[No.用]],"")</f>
        <v>ユニフォーム東峰旭YELL</v>
      </c>
      <c r="I36" s="11">
        <f>IF(RZS_100[[#This Row],[名前]]="","",(100+((VLOOKUP(RZS_100[[#This Row],[No用]],Q_Stat[],13,FALSE)-Statistics100!B$6)*5)/Statistics100!B$13))</f>
        <v>105.24603139041398</v>
      </c>
      <c r="J36" s="11">
        <f>IF(RZS_100[[#This Row],[名前]]="","",(100+((VLOOKUP(RZS_100[[#This Row],[No用]],Q_Stat[],14,FALSE)-Statistics100!C$6)*5)/Statistics100!C$13))</f>
        <v>109.15378946694682</v>
      </c>
      <c r="K36" s="11">
        <f>IF(RZS_100[[#This Row],[名前]]="","",(100+((VLOOKUP(RZS_100[[#This Row],[No用]],Q_Stat[],15,FALSE)-Statistics100!D$6)*5)/Statistics100!D$13))</f>
        <v>97.751700832679731</v>
      </c>
      <c r="L36" s="11">
        <f>IF(RZS_100[[#This Row],[名前]]="","",(100+((VLOOKUP(RZS_100[[#This Row],[No用]],Q_Stat[],16,FALSE)-Statistics100!E$6)*5)/Statistics100!E$13))</f>
        <v>103.37244875098041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102.81037395915034</v>
      </c>
      <c r="O36" s="11">
        <f>IF(RZS_100[[#This Row],[名前]]="","",(100+((VLOOKUP(RZS_100[[#This Row],[No用]],Q_Stat[],19,FALSE)-Statistics100!H$6)*5)/Statistics100!H$13))</f>
        <v>95.953061498823502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93.255102498039179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98.803324636748883</v>
      </c>
      <c r="T36" s="11">
        <f>IF(RZS_100[[#This Row],[名前]]="","",(100+((VLOOKUP(RZS_100[[#This Row],[No用]],Q_Stat[],26,FALSE)-Statistics100!M$6)*5)/Statistics100!M$13))</f>
        <v>104.0469385011765</v>
      </c>
      <c r="U36" s="11">
        <f>IF(RZS_100[[#This Row],[名前]]="","",(100+((VLOOKUP(RZS_100[[#This Row],[No用]],Q_Stat[],27,FALSE)-Statistics100!N$6)*5)/Statistics100!N$13))</f>
        <v>104.33600553697481</v>
      </c>
      <c r="V36" s="11">
        <f>IF(RZS_100[[#This Row],[名前]]="","",(100+((VLOOKUP(RZS_100[[#This Row],[No用]],Q_Stat[],28,FALSE)-Statistics100!O$6)*5)/Statistics100!O$13))</f>
        <v>97.751700832679731</v>
      </c>
      <c r="W36" s="11">
        <f>IF(RZS_100[[#This Row],[名前]]="","",(100+((VLOOKUP(RZS_100[[#This Row],[No用]],Q_Stat[],29,FALSE)-Statistics100!P$6)*5)/Statistics100!P$13))</f>
        <v>93.255102498039179</v>
      </c>
      <c r="X36" s="11">
        <f>IF(RZS_100[[#This Row],[名前]]="","",(100+((VLOOKUP(RZS_100[[#This Row],[No用]],Q_Stat[],30,FALSE)-Statistics100!Q$6)*5)/Statistics100!Q$13))</f>
        <v>99.325510249803912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縁下力</v>
      </c>
      <c r="D37" t="str">
        <f>IFERROR(Stat[[#This Row],[じゃんけん]],"")</f>
        <v>パー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ユニフォーム縁下力ICONIC</v>
      </c>
      <c r="I37" s="11">
        <f>IF(RZS_100[[#This Row],[名前]]="","",(100+((VLOOKUP(RZS_100[[#This Row],[No用]],Q_Stat[],13,FALSE)-Statistics100!B$6)*5)/Statistics100!B$13))</f>
        <v>94.004535553812602</v>
      </c>
      <c r="J37" s="11">
        <f>IF(RZS_100[[#This Row],[名前]]="","",(100+((VLOOKUP(RZS_100[[#This Row],[No用]],Q_Stat[],14,FALSE)-Statistics100!C$6)*5)/Statistics100!C$13))</f>
        <v>96.627551249019589</v>
      </c>
      <c r="K37" s="11">
        <f>IF(RZS_100[[#This Row],[名前]]="","",(100+((VLOOKUP(RZS_100[[#This Row],[No用]],Q_Stat[],15,FALSE)-Statistics100!D$6)*5)/Statistics100!D$13))</f>
        <v>96.627551249019589</v>
      </c>
      <c r="L37" s="11">
        <f>IF(RZS_100[[#This Row],[名前]]="","",(100+((VLOOKUP(RZS_100[[#This Row],[No用]],Q_Stat[],16,FALSE)-Statistics100!E$6)*5)/Statistics100!E$13))</f>
        <v>98.313775624509802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94.941326873529391</v>
      </c>
      <c r="O37" s="11">
        <f>IF(RZS_100[[#This Row],[名前]]="","",(100+((VLOOKUP(RZS_100[[#This Row],[No用]],Q_Stat[],19,FALSE)-Statistics100!H$6)*5)/Statistics100!H$13))</f>
        <v>104.0469385011765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94.941326873529391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94.886932538836149</v>
      </c>
      <c r="T37" s="11">
        <f>IF(RZS_100[[#This Row],[名前]]="","",(100+((VLOOKUP(RZS_100[[#This Row],[No用]],Q_Stat[],26,FALSE)-Statistics100!M$6)*5)/Statistics100!M$13))</f>
        <v>95.278571748627428</v>
      </c>
      <c r="U37" s="11">
        <f>IF(RZS_100[[#This Row],[名前]]="","",(100+((VLOOKUP(RZS_100[[#This Row],[No用]],Q_Stat[],27,FALSE)-Statistics100!N$6)*5)/Statistics100!N$13))</f>
        <v>97.591108035013988</v>
      </c>
      <c r="V37" s="11">
        <f>IF(RZS_100[[#This Row],[名前]]="","",(100+((VLOOKUP(RZS_100[[#This Row],[No用]],Q_Stat[],28,FALSE)-Statistics100!O$6)*5)/Statistics100!O$13))</f>
        <v>96.627551249019589</v>
      </c>
      <c r="W37" s="11">
        <f>IF(RZS_100[[#This Row],[名前]]="","",(100+((VLOOKUP(RZS_100[[#This Row],[No用]],Q_Stat[],29,FALSE)-Statistics100!P$6)*5)/Statistics100!P$13))</f>
        <v>100</v>
      </c>
      <c r="X37" s="11">
        <f>IF(RZS_100[[#This Row],[名前]]="","",(100+((VLOOKUP(RZS_100[[#This Row],[No用]],Q_Stat[],30,FALSE)-Statistics100!Q$6)*5)/Statistics100!Q$13))</f>
        <v>94.60408199843134</v>
      </c>
    </row>
    <row r="38" spans="1:24" x14ac:dyDescent="0.35">
      <c r="A38">
        <f>IFERROR(Stat[[#This Row],[No.]],"")</f>
        <v>37</v>
      </c>
      <c r="B38" t="str">
        <f>IFERROR(Stat[[#This Row],[服装]],"")</f>
        <v>探偵</v>
      </c>
      <c r="C38" t="str">
        <f>IFERROR(Stat[[#This Row],[名前]],"")</f>
        <v>縁下力</v>
      </c>
      <c r="D38" t="str">
        <f>IFERROR(Stat[[#This Row],[じゃんけん]],"")</f>
        <v>チョキ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探偵縁下力ICONIC</v>
      </c>
      <c r="I38" s="11">
        <f>IF(RZS_100[[#This Row],[名前]]="","",(100+((VLOOKUP(RZS_100[[#This Row],[No用]],Q_Stat[],13,FALSE)-Statistics100!B$6)*5)/Statistics100!B$13))</f>
        <v>96.252834721132885</v>
      </c>
      <c r="J38" s="11">
        <f>IF(RZS_100[[#This Row],[名前]]="","",(100+((VLOOKUP(RZS_100[[#This Row],[No用]],Q_Stat[],14,FALSE)-Statistics100!C$6)*5)/Statistics100!C$13))</f>
        <v>99.518221607002801</v>
      </c>
      <c r="K38" s="11">
        <f>IF(RZS_100[[#This Row],[名前]]="","",(100+((VLOOKUP(RZS_100[[#This Row],[No用]],Q_Stat[],15,FALSE)-Statistics100!D$6)*5)/Statistics100!D$13))</f>
        <v>98.875850416339858</v>
      </c>
      <c r="L38" s="11">
        <f>IF(RZS_100[[#This Row],[名前]]="","",(100+((VLOOKUP(RZS_100[[#This Row],[No用]],Q_Stat[],16,FALSE)-Statistics100!E$6)*5)/Statistics100!E$13))</f>
        <v>100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96.065476457189519</v>
      </c>
      <c r="O38" s="11">
        <f>IF(RZS_100[[#This Row],[名前]]="","",(100+((VLOOKUP(RZS_100[[#This Row],[No用]],Q_Stat[],19,FALSE)-Statistics100!H$6)*5)/Statistics100!H$13))</f>
        <v>105.39591800156866</v>
      </c>
      <c r="P38" s="11">
        <f>IF(RZS_100[[#This Row],[名前]]="","",(100+((VLOOKUP(RZS_100[[#This Row],[No用]],Q_Stat[],20,FALSE)-Statistics100!I$6)*5)/Statistics100!I$13))</f>
        <v>100</v>
      </c>
      <c r="Q38" s="11">
        <f>IF(RZS_100[[#This Row],[名前]]="","",(100+((VLOOKUP(RZS_100[[#This Row],[No用]],Q_Stat[],21,FALSE)-Statistics100!J$6)*5)/Statistics100!J$13))</f>
        <v>96.627551249019589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98.150592620430103</v>
      </c>
      <c r="T38" s="11">
        <f>IF(RZS_100[[#This Row],[名前]]="","",(100+((VLOOKUP(RZS_100[[#This Row],[No用]],Q_Stat[],26,FALSE)-Statistics100!M$6)*5)/Statistics100!M$13))</f>
        <v>97.302040999215677</v>
      </c>
      <c r="U38" s="11">
        <f>IF(RZS_100[[#This Row],[名前]]="","",(100+((VLOOKUP(RZS_100[[#This Row],[No用]],Q_Stat[],27,FALSE)-Statistics100!N$6)*5)/Statistics100!N$13))</f>
        <v>99.518221607002801</v>
      </c>
      <c r="V38" s="11">
        <f>IF(RZS_100[[#This Row],[名前]]="","",(100+((VLOOKUP(RZS_100[[#This Row],[No用]],Q_Stat[],28,FALSE)-Statistics100!O$6)*5)/Statistics100!O$13))</f>
        <v>98.875850416339858</v>
      </c>
      <c r="W38" s="11">
        <f>IF(RZS_100[[#This Row],[名前]]="","",(100+((VLOOKUP(RZS_100[[#This Row],[No用]],Q_Stat[],29,FALSE)-Statistics100!P$6)*5)/Statistics100!P$13))</f>
        <v>101.92711357198881</v>
      </c>
      <c r="X38" s="11">
        <f>IF(RZS_100[[#This Row],[名前]]="","",(100+((VLOOKUP(RZS_100[[#This Row],[No用]],Q_Stat[],30,FALSE)-Statistics100!Q$6)*5)/Statistics100!Q$13))</f>
        <v>97.302040999215677</v>
      </c>
    </row>
    <row r="39" spans="1:24" x14ac:dyDescent="0.35">
      <c r="A39">
        <f>IFERROR(Stat[[#This Row],[No.]],"")</f>
        <v>38</v>
      </c>
      <c r="B39" t="str">
        <f>IFERROR(Stat[[#This Row],[服装]],"")</f>
        <v>RPG</v>
      </c>
      <c r="C39" t="str">
        <f>IFERROR(Stat[[#This Row],[名前]],"")</f>
        <v>縁下力</v>
      </c>
      <c r="D39" t="str">
        <f>IFERROR(Stat[[#This Row],[じゃんけん]],"")</f>
        <v>グー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RPG縁下力ICONIC</v>
      </c>
      <c r="I39" s="11">
        <f>IF(RZS_100[[#This Row],[名前]]="","",(100+((VLOOKUP(RZS_100[[#This Row],[No用]],Q_Stat[],13,FALSE)-Statistics100!B$6)*5)/Statistics100!B$13))</f>
        <v>94.753968609586025</v>
      </c>
      <c r="J39" s="11">
        <f>IF(RZS_100[[#This Row],[名前]]="","",(100+((VLOOKUP(RZS_100[[#This Row],[No用]],Q_Stat[],14,FALSE)-Statistics100!C$6)*5)/Statistics100!C$13))</f>
        <v>100.4817783929972</v>
      </c>
      <c r="K39" s="11">
        <f>IF(RZS_100[[#This Row],[名前]]="","",(100+((VLOOKUP(RZS_100[[#This Row],[No用]],Q_Stat[],15,FALSE)-Statistics100!D$6)*5)/Statistics100!D$13))</f>
        <v>96.627551249019589</v>
      </c>
      <c r="L39" s="11">
        <f>IF(RZS_100[[#This Row],[名前]]="","",(100+((VLOOKUP(RZS_100[[#This Row],[No用]],Q_Stat[],16,FALSE)-Statistics100!E$6)*5)/Statistics100!E$13))</f>
        <v>101.6862243754902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94.941326873529391</v>
      </c>
      <c r="O39" s="11">
        <f>IF(RZS_100[[#This Row],[名前]]="","",(100+((VLOOKUP(RZS_100[[#This Row],[No用]],Q_Stat[],19,FALSE)-Statistics100!H$6)*5)/Statistics100!H$13))</f>
        <v>108.09387700235298</v>
      </c>
      <c r="P39" s="11">
        <f>IF(RZS_100[[#This Row],[名前]]="","",(100+((VLOOKUP(RZS_100[[#This Row],[No用]],Q_Stat[],20,FALSE)-Statistics100!I$6)*5)/Statistics100!I$13))</f>
        <v>97.751700832679731</v>
      </c>
      <c r="Q39" s="11">
        <f>IF(RZS_100[[#This Row],[名前]]="","",(100+((VLOOKUP(RZS_100[[#This Row],[No用]],Q_Stat[],21,FALSE)-Statistics100!J$6)*5)/Statistics100!J$13))</f>
        <v>100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98.150592620430103</v>
      </c>
      <c r="T39" s="11">
        <f>IF(RZS_100[[#This Row],[名前]]="","",(100+((VLOOKUP(RZS_100[[#This Row],[No用]],Q_Stat[],26,FALSE)-Statistics100!M$6)*5)/Statistics100!M$13))</f>
        <v>95.953061498823502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96.627551249019589</v>
      </c>
      <c r="W39" s="11">
        <f>IF(RZS_100[[#This Row],[名前]]="","",(100+((VLOOKUP(RZS_100[[#This Row],[No用]],Q_Stat[],29,FALSE)-Statistics100!P$6)*5)/Statistics100!P$13))</f>
        <v>105.78134071596642</v>
      </c>
      <c r="X39" s="11">
        <f>IF(RZS_100[[#This Row],[名前]]="","",(100+((VLOOKUP(RZS_100[[#This Row],[No用]],Q_Stat[],30,FALSE)-Statistics100!Q$6)*5)/Statistics100!Q$13))</f>
        <v>95.953061498823502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木下久志</v>
      </c>
      <c r="D40" t="str">
        <f>IFERROR(Stat[[#This Row],[じゃんけん]],"")</f>
        <v>パー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ユニフォーム木下久志ICONIC</v>
      </c>
      <c r="I40" s="11">
        <f>IF(RZS_100[[#This Row],[名前]]="","",(100+((VLOOKUP(RZS_100[[#This Row],[No用]],Q_Stat[],13,FALSE)-Statistics100!B$6)*5)/Statistics100!B$13))</f>
        <v>97.002267776906308</v>
      </c>
      <c r="J40" s="11">
        <f>IF(RZS_100[[#This Row],[名前]]="","",(100+((VLOOKUP(RZS_100[[#This Row],[No用]],Q_Stat[],14,FALSE)-Statistics100!C$6)*5)/Statistics100!C$13))</f>
        <v>103.37244875098041</v>
      </c>
      <c r="K40" s="11">
        <f>IF(RZS_100[[#This Row],[名前]]="","",(100+((VLOOKUP(RZS_100[[#This Row],[No用]],Q_Stat[],15,FALSE)-Statistics100!D$6)*5)/Statistics100!D$13))</f>
        <v>98.875850416339858</v>
      </c>
      <c r="L40" s="11">
        <f>IF(RZS_100[[#This Row],[名前]]="","",(100+((VLOOKUP(RZS_100[[#This Row],[No用]],Q_Stat[],16,FALSE)-Statistics100!E$6)*5)/Statistics100!E$13))</f>
        <v>93.255102498039179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97.18962604084966</v>
      </c>
      <c r="O40" s="11">
        <f>IF(RZS_100[[#This Row],[名前]]="","",(100+((VLOOKUP(RZS_100[[#This Row],[No用]],Q_Stat[],19,FALSE)-Statistics100!H$6)*5)/Statistics100!H$13))</f>
        <v>97.302040999215677</v>
      </c>
      <c r="P40" s="11">
        <f>IF(RZS_100[[#This Row],[名前]]="","",(100+((VLOOKUP(RZS_100[[#This Row],[No用]],Q_Stat[],20,FALSE)-Statistics100!I$6)*5)/Statistics100!I$13))</f>
        <v>95.503401665359448</v>
      </c>
      <c r="Q40" s="11">
        <f>IF(RZS_100[[#This Row],[名前]]="","",(100+((VLOOKUP(RZS_100[[#This Row],[No用]],Q_Stat[],21,FALSE)-Statistics100!J$6)*5)/Statistics100!J$13))</f>
        <v>96.627551249019589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95.104509877609075</v>
      </c>
      <c r="T40" s="11">
        <f>IF(RZS_100[[#This Row],[名前]]="","",(100+((VLOOKUP(RZS_100[[#This Row],[No用]],Q_Stat[],26,FALSE)-Statistics100!M$6)*5)/Statistics100!M$13))</f>
        <v>99.325510249803912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98.875850416339858</v>
      </c>
      <c r="W40" s="11">
        <f>IF(RZS_100[[#This Row],[名前]]="","",(100+((VLOOKUP(RZS_100[[#This Row],[No用]],Q_Stat[],29,FALSE)-Statistics100!P$6)*5)/Statistics100!P$13))</f>
        <v>96.14577285602239</v>
      </c>
      <c r="X40" s="11">
        <f>IF(RZS_100[[#This Row],[名前]]="","",(100+((VLOOKUP(RZS_100[[#This Row],[No用]],Q_Stat[],30,FALSE)-Statistics100!Q$6)*5)/Statistics100!Q$13))</f>
        <v>96.627551249019589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成田一仁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ユニフォーム成田一仁ICONIC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97.591108035013988</v>
      </c>
      <c r="K41" s="11">
        <f>IF(RZS_100[[#This Row],[名前]]="","",(100+((VLOOKUP(RZS_100[[#This Row],[No用]],Q_Stat[],15,FALSE)-Statistics100!D$6)*5)/Statistics100!D$13))</f>
        <v>97.751700832679731</v>
      </c>
      <c r="L41" s="11">
        <f>IF(RZS_100[[#This Row],[名前]]="","",(100+((VLOOKUP(RZS_100[[#This Row],[No用]],Q_Stat[],16,FALSE)-Statistics100!E$6)*5)/Statistics100!E$13))</f>
        <v>103.37244875098041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101.6862243754902</v>
      </c>
      <c r="O41" s="11">
        <f>IF(RZS_100[[#This Row],[名前]]="","",(100+((VLOOKUP(RZS_100[[#This Row],[No用]],Q_Stat[],19,FALSE)-Statistics100!H$6)*5)/Statistics100!H$13))</f>
        <v>94.60408199843134</v>
      </c>
      <c r="P41" s="11">
        <f>IF(RZS_100[[#This Row],[名前]]="","",(100+((VLOOKUP(RZS_100[[#This Row],[No用]],Q_Stat[],20,FALSE)-Statistics100!I$6)*5)/Statistics100!I$13))</f>
        <v>93.255102498039179</v>
      </c>
      <c r="Q41" s="11">
        <f>IF(RZS_100[[#This Row],[名前]]="","",(100+((VLOOKUP(RZS_100[[#This Row],[No用]],Q_Stat[],21,FALSE)-Statistics100!J$6)*5)/Statistics100!J$13))</f>
        <v>94.941326873529391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94.016623183744429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97.751700832679731</v>
      </c>
      <c r="W41" s="11">
        <f>IF(RZS_100[[#This Row],[名前]]="","",(100+((VLOOKUP(RZS_100[[#This Row],[No用]],Q_Stat[],29,FALSE)-Statistics100!P$6)*5)/Statistics100!P$13))</f>
        <v>93.255102498039179</v>
      </c>
      <c r="X41" s="11">
        <f>IF(RZS_100[[#This Row],[名前]]="","",(100+((VLOOKUP(RZS_100[[#This Row],[No用]],Q_Stat[],30,FALSE)-Statistics100!Q$6)*5)/Statistics100!Q$13))</f>
        <v>98.651020499607839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ユニフォーム孤爪研磨ICONIC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96.627551249019589</v>
      </c>
      <c r="K42" s="11">
        <f>IF(RZS_100[[#This Row],[名前]]="","",(100+((VLOOKUP(RZS_100[[#This Row],[No用]],Q_Stat[],15,FALSE)-Statistics100!D$6)*5)/Statistics100!D$13))</f>
        <v>114.61394458758177</v>
      </c>
      <c r="L42" s="11">
        <f>IF(RZS_100[[#This Row],[名前]]="","",(100+((VLOOKUP(RZS_100[[#This Row],[No用]],Q_Stat[],16,FALSE)-Statistics100!E$6)*5)/Statistics100!E$13))</f>
        <v>113.48979500392164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94.941326873529391</v>
      </c>
      <c r="O42" s="11">
        <f>IF(RZS_100[[#This Row],[名前]]="","",(100+((VLOOKUP(RZS_100[[#This Row],[No用]],Q_Stat[],19,FALSE)-Statistics100!H$6)*5)/Statistics100!H$13))</f>
        <v>100</v>
      </c>
      <c r="P42" s="11">
        <f>IF(RZS_100[[#This Row],[名前]]="","",(100+((VLOOKUP(RZS_100[[#This Row],[No用]],Q_Stat[],20,FALSE)-Statistics100!I$6)*5)/Statistics100!I$13))</f>
        <v>91.00680333071891</v>
      </c>
      <c r="Q42" s="11">
        <f>IF(RZS_100[[#This Row],[名前]]="","",(100+((VLOOKUP(RZS_100[[#This Row],[No用]],Q_Stat[],21,FALSE)-Statistics100!J$6)*5)/Statistics100!J$13))</f>
        <v>96.627551249019589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100.10878866938647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102.89067035798321</v>
      </c>
      <c r="V42" s="11">
        <f>IF(RZS_100[[#This Row],[名前]]="","",(100+((VLOOKUP(RZS_100[[#This Row],[No用]],Q_Stat[],28,FALSE)-Statistics100!O$6)*5)/Statistics100!O$13))</f>
        <v>114.61394458758177</v>
      </c>
      <c r="W42" s="11">
        <f>IF(RZS_100[[#This Row],[名前]]="","",(100+((VLOOKUP(RZS_100[[#This Row],[No用]],Q_Stat[],29,FALSE)-Statistics100!P$6)*5)/Statistics100!P$13))</f>
        <v>98.072886428011188</v>
      </c>
      <c r="X42" s="11">
        <f>IF(RZS_100[[#This Row],[名前]]="","",(100+((VLOOKUP(RZS_100[[#This Row],[No用]],Q_Stat[],30,FALSE)-Statistics100!Q$6)*5)/Statistics100!Q$13))</f>
        <v>93.929592248235267</v>
      </c>
    </row>
    <row r="43" spans="1:24" x14ac:dyDescent="0.35">
      <c r="A43">
        <f>IFERROR(Stat[[#This Row],[No.]],"")</f>
        <v>42</v>
      </c>
      <c r="B43" t="str">
        <f>IFERROR(Stat[[#This Row],[服装]],"")</f>
        <v>制服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制服孤爪研磨ICONIC</v>
      </c>
      <c r="I43" s="11">
        <f>IF(RZS_100[[#This Row],[名前]]="","",(100+((VLOOKUP(RZS_100[[#This Row],[No用]],Q_Stat[],13,FALSE)-Statistics100!B$6)*5)/Statistics100!B$13))</f>
        <v>94.753968609586025</v>
      </c>
      <c r="J43" s="11">
        <f>IF(RZS_100[[#This Row],[名前]]="","",(100+((VLOOKUP(RZS_100[[#This Row],[No用]],Q_Stat[],14,FALSE)-Statistics100!C$6)*5)/Statistics100!C$13))</f>
        <v>99.518221607002801</v>
      </c>
      <c r="K43" s="11">
        <f>IF(RZS_100[[#This Row],[名前]]="","",(100+((VLOOKUP(RZS_100[[#This Row],[No用]],Q_Stat[],15,FALSE)-Statistics100!D$6)*5)/Statistics100!D$13))</f>
        <v>117.98639333856218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96.065476457189519</v>
      </c>
      <c r="O43" s="11">
        <f>IF(RZS_100[[#This Row],[名前]]="","",(100+((VLOOKUP(RZS_100[[#This Row],[No用]],Q_Stat[],19,FALSE)-Statistics100!H$6)*5)/Statistics100!H$13))</f>
        <v>101.34897950039216</v>
      </c>
      <c r="P43" s="11">
        <f>IF(RZS_100[[#This Row],[名前]]="","",(100+((VLOOKUP(RZS_100[[#This Row],[No用]],Q_Stat[],20,FALSE)-Statistics100!I$6)*5)/Statistics100!I$13))</f>
        <v>93.255102498039179</v>
      </c>
      <c r="Q43" s="11">
        <f>IF(RZS_100[[#This Row],[名前]]="","",(100+((VLOOKUP(RZS_100[[#This Row],[No用]],Q_Stat[],21,FALSE)-Statistics100!J$6)*5)/Statistics100!J$13))</f>
        <v>98.313775624509802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103.15487141220748</v>
      </c>
      <c r="T43" s="11">
        <f>IF(RZS_100[[#This Row],[名前]]="","",(100+((VLOOKUP(RZS_100[[#This Row],[No用]],Q_Stat[],26,FALSE)-Statistics100!M$6)*5)/Statistics100!M$13))</f>
        <v>97.302040999215677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117.98639333856218</v>
      </c>
      <c r="W43" s="11">
        <f>IF(RZS_100[[#This Row],[名前]]="","",(100+((VLOOKUP(RZS_100[[#This Row],[No用]],Q_Stat[],29,FALSE)-Statistics100!P$6)*5)/Statistics100!P$13))</f>
        <v>100</v>
      </c>
      <c r="X43" s="11">
        <f>IF(RZS_100[[#This Row],[名前]]="","",(100+((VLOOKUP(RZS_100[[#This Row],[No用]],Q_Stat[],30,FALSE)-Statistics100!Q$6)*5)/Statistics100!Q$13))</f>
        <v>95.278571748627428</v>
      </c>
    </row>
    <row r="44" spans="1:24" x14ac:dyDescent="0.35">
      <c r="A44">
        <f>IFERROR(Stat[[#This Row],[No.]],"")</f>
        <v>43</v>
      </c>
      <c r="B44" t="str">
        <f>IFERROR(Stat[[#This Row],[服装]],"")</f>
        <v>夏祭り</v>
      </c>
      <c r="C44" t="str">
        <f>IFERROR(Stat[[#This Row],[名前]],"")</f>
        <v>孤爪研磨</v>
      </c>
      <c r="D44" t="str">
        <f>IFERROR(Stat[[#This Row],[じゃんけん]],"")</f>
        <v>チョキ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夏祭り孤爪研磨ICONIC</v>
      </c>
      <c r="I44" s="11">
        <f>IF(RZS_100[[#This Row],[名前]]="","",(100+((VLOOKUP(RZS_100[[#This Row],[No用]],Q_Stat[],13,FALSE)-Statistics100!B$6)*5)/Statistics100!B$13))</f>
        <v>93.255102498039179</v>
      </c>
      <c r="J44" s="11">
        <f>IF(RZS_100[[#This Row],[名前]]="","",(100+((VLOOKUP(RZS_100[[#This Row],[No用]],Q_Stat[],14,FALSE)-Statistics100!C$6)*5)/Statistics100!C$13))</f>
        <v>99.518221607002801</v>
      </c>
      <c r="K44" s="11">
        <f>IF(RZS_100[[#This Row],[名前]]="","",(100+((VLOOKUP(RZS_100[[#This Row],[No用]],Q_Stat[],15,FALSE)-Statistics100!D$6)*5)/Statistics100!D$13))</f>
        <v>120.23469250588246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93.81717728986925</v>
      </c>
      <c r="O44" s="11">
        <f>IF(RZS_100[[#This Row],[名前]]="","",(100+((VLOOKUP(RZS_100[[#This Row],[No用]],Q_Stat[],19,FALSE)-Statistics100!H$6)*5)/Statistics100!H$13))</f>
        <v>104.0469385011765</v>
      </c>
      <c r="P44" s="11">
        <f>IF(RZS_100[[#This Row],[名前]]="","",(100+((VLOOKUP(RZS_100[[#This Row],[No用]],Q_Stat[],20,FALSE)-Statistics100!I$6)*5)/Statistics100!I$13))</f>
        <v>88.758504163398641</v>
      </c>
      <c r="Q44" s="11">
        <f>IF(RZS_100[[#This Row],[名前]]="","",(100+((VLOOKUP(RZS_100[[#This Row],[No用]],Q_Stat[],21,FALSE)-Statistics100!J$6)*5)/Statistics100!J$13))</f>
        <v>101.6862243754902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103.15487141220748</v>
      </c>
      <c r="T44" s="11">
        <f>IF(RZS_100[[#This Row],[名前]]="","",(100+((VLOOKUP(RZS_100[[#This Row],[No用]],Q_Stat[],26,FALSE)-Statistics100!M$6)*5)/Statistics100!M$13))</f>
        <v>95.953061498823502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120.23469250588246</v>
      </c>
      <c r="W44" s="11">
        <f>IF(RZS_100[[#This Row],[名前]]="","",(100+((VLOOKUP(RZS_100[[#This Row],[No用]],Q_Stat[],29,FALSE)-Statistics100!P$6)*5)/Statistics100!P$13))</f>
        <v>103.85422714397761</v>
      </c>
      <c r="X44" s="11">
        <f>IF(RZS_100[[#This Row],[名前]]="","",(100+((VLOOKUP(RZS_100[[#This Row],[No用]],Q_Stat[],30,FALSE)-Statistics100!Q$6)*5)/Statistics100!Q$13))</f>
        <v>92.580612747843105</v>
      </c>
    </row>
    <row r="45" spans="1:24" x14ac:dyDescent="0.35">
      <c r="A45">
        <f>IFERROR(Stat[[#This Row],[No.]],"")</f>
        <v>44</v>
      </c>
      <c r="B45" t="str">
        <f>IFERROR(Stat[[#This Row],[服装]],"")</f>
        <v>1周年</v>
      </c>
      <c r="C45" t="str">
        <f>IFERROR(Stat[[#This Row],[名前]],"")</f>
        <v>孤爪研磨</v>
      </c>
      <c r="D45" t="str">
        <f>IFERROR(Stat[[#This Row],[じゃんけん]],"")</f>
        <v>グー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1周年孤爪研磨ICONIC</v>
      </c>
      <c r="I45" s="11">
        <f>IF(RZS_100[[#This Row],[名前]]="","",(100+((VLOOKUP(RZS_100[[#This Row],[No用]],Q_Stat[],13,FALSE)-Statistics100!B$6)*5)/Statistics100!B$13))</f>
        <v>95.503401665359448</v>
      </c>
      <c r="J45" s="11">
        <f>IF(RZS_100[[#This Row],[名前]]="","",(100+((VLOOKUP(RZS_100[[#This Row],[No用]],Q_Stat[],14,FALSE)-Statistics100!C$6)*5)/Statistics100!C$13))</f>
        <v>101.4453351789916</v>
      </c>
      <c r="K45" s="11">
        <f>IF(RZS_100[[#This Row],[名前]]="","",(100+((VLOOKUP(RZS_100[[#This Row],[No用]],Q_Stat[],15,FALSE)-Statistics100!D$6)*5)/Statistics100!D$13))</f>
        <v>121.35884208954259</v>
      </c>
      <c r="L45" s="11">
        <f>IF(RZS_100[[#This Row],[名前]]="","",(100+((VLOOKUP(RZS_100[[#This Row],[No用]],Q_Stat[],16,FALSE)-Statistics100!E$6)*5)/Statistics100!E$13))</f>
        <v>121.92091688137266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97.18962604084966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95.503401665359448</v>
      </c>
      <c r="Q45" s="11">
        <f>IF(RZS_100[[#This Row],[名前]]="","",(100+((VLOOKUP(RZS_100[[#This Row],[No用]],Q_Stat[],21,FALSE)-Statistics100!J$6)*5)/Statistics100!J$13))</f>
        <v>98.313775624509802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105.33064479993678</v>
      </c>
      <c r="T45" s="11">
        <f>IF(RZS_100[[#This Row],[名前]]="","",(100+((VLOOKUP(RZS_100[[#This Row],[No用]],Q_Stat[],26,FALSE)-Statistics100!M$6)*5)/Statistics100!M$13))</f>
        <v>97.976530749411751</v>
      </c>
      <c r="U45" s="11">
        <f>IF(RZS_100[[#This Row],[名前]]="","",(100+((VLOOKUP(RZS_100[[#This Row],[No用]],Q_Stat[],27,FALSE)-Statistics100!N$6)*5)/Statistics100!N$13))</f>
        <v>107.70845428795522</v>
      </c>
      <c r="V45" s="11">
        <f>IF(RZS_100[[#This Row],[名前]]="","",(100+((VLOOKUP(RZS_100[[#This Row],[No用]],Q_Stat[],28,FALSE)-Statistics100!O$6)*5)/Statistics100!O$13))</f>
        <v>121.35884208954259</v>
      </c>
      <c r="W45" s="11">
        <f>IF(RZS_100[[#This Row],[名前]]="","",(100+((VLOOKUP(RZS_100[[#This Row],[No用]],Q_Stat[],29,FALSE)-Statistics100!P$6)*5)/Statistics100!P$13))</f>
        <v>100</v>
      </c>
      <c r="X45" s="11">
        <f>IF(RZS_100[[#This Row],[名前]]="","",(100+((VLOOKUP(RZS_100[[#This Row],[No用]],Q_Stat[],30,FALSE)-Statistics100!Q$6)*5)/Statistics100!Q$13))</f>
        <v>96.627551249019589</v>
      </c>
    </row>
    <row r="46" spans="1:24" x14ac:dyDescent="0.35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ユニフォーム黒尾鉄朗ICONIC</v>
      </c>
      <c r="I46" s="11">
        <f>IF(RZS_100[[#This Row],[名前]]="","",(100+((VLOOKUP(RZS_100[[#This Row],[No用]],Q_Stat[],13,FALSE)-Statistics100!B$6)*5)/Statistics100!B$13))</f>
        <v>103.74716527886712</v>
      </c>
      <c r="J46" s="11">
        <f>IF(RZS_100[[#This Row],[名前]]="","",(100+((VLOOKUP(RZS_100[[#This Row],[No用]],Q_Stat[],14,FALSE)-Statistics100!C$6)*5)/Statistics100!C$13))</f>
        <v>102.40889196498601</v>
      </c>
      <c r="K46" s="11">
        <f>IF(RZS_100[[#This Row],[名前]]="","",(100+((VLOOKUP(RZS_100[[#This Row],[No用]],Q_Stat[],15,FALSE)-Statistics100!D$6)*5)/Statistics100!D$13))</f>
        <v>100</v>
      </c>
      <c r="L46" s="11">
        <f>IF(RZS_100[[#This Row],[名前]]="","",(100+((VLOOKUP(RZS_100[[#This Row],[No用]],Q_Stat[],16,FALSE)-Statistics100!E$6)*5)/Statistics100!E$13))</f>
        <v>96.627551249019589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112.92772021209157</v>
      </c>
      <c r="O46" s="11">
        <f>IF(RZS_100[[#This Row],[名前]]="","",(100+((VLOOKUP(RZS_100[[#This Row],[No用]],Q_Stat[],19,FALSE)-Statistics100!H$6)*5)/Statistics100!H$13))</f>
        <v>100</v>
      </c>
      <c r="P46" s="11">
        <f>IF(RZS_100[[#This Row],[名前]]="","",(100+((VLOOKUP(RZS_100[[#This Row],[No用]],Q_Stat[],20,FALSE)-Statistics100!I$6)*5)/Statistics100!I$13))</f>
        <v>97.751700832679731</v>
      </c>
      <c r="Q46" s="11">
        <f>IF(RZS_100[[#This Row],[名前]]="","",(100+((VLOOKUP(RZS_100[[#This Row],[No用]],Q_Stat[],21,FALSE)-Statistics100!J$6)*5)/Statistics100!J$13))</f>
        <v>96.627551249019589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102.28456205711576</v>
      </c>
      <c r="T46" s="11">
        <f>IF(RZS_100[[#This Row],[名前]]="","",(100+((VLOOKUP(RZS_100[[#This Row],[No用]],Q_Stat[],26,FALSE)-Statistics100!M$6)*5)/Statistics100!M$13))</f>
        <v>105.39591800156866</v>
      </c>
      <c r="U46" s="11">
        <f>IF(RZS_100[[#This Row],[名前]]="","",(100+((VLOOKUP(RZS_100[[#This Row],[No用]],Q_Stat[],27,FALSE)-Statistics100!N$6)*5)/Statistics100!N$13))</f>
        <v>100.9635567859944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98.072886428011188</v>
      </c>
      <c r="X46" s="11">
        <f>IF(RZS_100[[#This Row],[名前]]="","",(100+((VLOOKUP(RZS_100[[#This Row],[No用]],Q_Stat[],30,FALSE)-Statistics100!Q$6)*5)/Statistics100!Q$13))</f>
        <v>106.74489750196082</v>
      </c>
    </row>
    <row r="47" spans="1:24" x14ac:dyDescent="0.35">
      <c r="A47">
        <f>IFERROR(Stat[[#This Row],[No.]],"")</f>
        <v>46</v>
      </c>
      <c r="B47" t="str">
        <f>IFERROR(Stat[[#This Row],[服装]],"")</f>
        <v>制服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制服黒尾鉄朗ICONIC</v>
      </c>
      <c r="I47" s="11">
        <f>IF(RZS_100[[#This Row],[名前]]="","",(100+((VLOOKUP(RZS_100[[#This Row],[No用]],Q_Stat[],13,FALSE)-Statistics100!B$6)*5)/Statistics100!B$13))</f>
        <v>105.9954644461874</v>
      </c>
      <c r="J47" s="11">
        <f>IF(RZS_100[[#This Row],[名前]]="","",(100+((VLOOKUP(RZS_100[[#This Row],[No用]],Q_Stat[],14,FALSE)-Statistics100!C$6)*5)/Statistics100!C$13))</f>
        <v>103.37244875098041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98.313775624509802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116.30016896307198</v>
      </c>
      <c r="O47" s="11">
        <f>IF(RZS_100[[#This Row],[名前]]="","",(100+((VLOOKUP(RZS_100[[#This Row],[No用]],Q_Stat[],19,FALSE)-Statistics100!H$6)*5)/Statistics100!H$13))</f>
        <v>101.34897950039216</v>
      </c>
      <c r="P47" s="11">
        <f>IF(RZS_100[[#This Row],[名前]]="","",(100+((VLOOKUP(RZS_100[[#This Row],[No用]],Q_Stat[],20,FALSE)-Statistics100!I$6)*5)/Statistics100!I$13))</f>
        <v>104.49659833464055</v>
      </c>
      <c r="Q47" s="11">
        <f>IF(RZS_100[[#This Row],[名前]]="","",(100+((VLOOKUP(RZS_100[[#This Row],[No用]],Q_Stat[],21,FALSE)-Statistics100!J$6)*5)/Statistics100!J$13))</f>
        <v>98.313775624509802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105.33064479993678</v>
      </c>
      <c r="T47" s="11">
        <f>IF(RZS_100[[#This Row],[名前]]="","",(100+((VLOOKUP(RZS_100[[#This Row],[No用]],Q_Stat[],26,FALSE)-Statistics100!M$6)*5)/Statistics100!M$13))</f>
        <v>107.41938725215689</v>
      </c>
      <c r="U47" s="11">
        <f>IF(RZS_100[[#This Row],[名前]]="","",(100+((VLOOKUP(RZS_100[[#This Row],[No用]],Q_Stat[],27,FALSE)-Statistics100!N$6)*5)/Statistics100!N$13))</f>
        <v>101.92711357198881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100</v>
      </c>
      <c r="X47" s="11">
        <f>IF(RZS_100[[#This Row],[名前]]="","",(100+((VLOOKUP(RZS_100[[#This Row],[No用]],Q_Stat[],30,FALSE)-Statistics100!Q$6)*5)/Statistics100!Q$13))</f>
        <v>110.79183600313731</v>
      </c>
    </row>
    <row r="48" spans="1:24" x14ac:dyDescent="0.35">
      <c r="A48">
        <f>IFERROR(Stat[[#This Row],[No.]],"")</f>
        <v>47</v>
      </c>
      <c r="B48" t="str">
        <f>IFERROR(Stat[[#This Row],[服装]],"")</f>
        <v>夏祭り</v>
      </c>
      <c r="C48" t="str">
        <f>IFERROR(Stat[[#This Row],[名前]],"")</f>
        <v>黒尾鉄朗</v>
      </c>
      <c r="D48" t="str">
        <f>IFERROR(Stat[[#This Row],[じゃんけん]],"")</f>
        <v>パー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夏祭り黒尾鉄朗ICONIC</v>
      </c>
      <c r="I48" s="11">
        <f>IF(RZS_100[[#This Row],[名前]]="","",(100+((VLOOKUP(RZS_100[[#This Row],[No用]],Q_Stat[],13,FALSE)-Statistics100!B$6)*5)/Statistics100!B$13))</f>
        <v>107.49433055773424</v>
      </c>
      <c r="J48" s="11">
        <f>IF(RZS_100[[#This Row],[名前]]="","",(100+((VLOOKUP(RZS_100[[#This Row],[No用]],Q_Stat[],14,FALSE)-Statistics100!C$6)*5)/Statistics100!C$13))</f>
        <v>106.26311910896362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103.37244875098041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112.92772021209157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97.751700832679731</v>
      </c>
      <c r="Q48" s="11">
        <f>IF(RZS_100[[#This Row],[名前]]="","",(100+((VLOOKUP(RZS_100[[#This Row],[No用]],Q_Stat[],21,FALSE)-Statistics100!J$6)*5)/Statistics100!J$13))</f>
        <v>94.941326873529391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105.33064479993678</v>
      </c>
      <c r="T48" s="11">
        <f>IF(RZS_100[[#This Row],[名前]]="","",(100+((VLOOKUP(RZS_100[[#This Row],[No用]],Q_Stat[],26,FALSE)-Statistics100!M$6)*5)/Statistics100!M$13))</f>
        <v>108.76836675254907</v>
      </c>
      <c r="U48" s="11">
        <f>IF(RZS_100[[#This Row],[名前]]="","",(100+((VLOOKUP(RZS_100[[#This Row],[No用]],Q_Stat[],27,FALSE)-Statistics100!N$6)*5)/Statistics100!N$13))</f>
        <v>104.81778392997201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98.072886428011188</v>
      </c>
      <c r="X48" s="11">
        <f>IF(RZS_100[[#This Row],[名前]]="","",(100+((VLOOKUP(RZS_100[[#This Row],[No用]],Q_Stat[],30,FALSE)-Statistics100!Q$6)*5)/Statistics100!Q$13))</f>
        <v>106.74489750196082</v>
      </c>
    </row>
    <row r="49" spans="1:24" x14ac:dyDescent="0.35">
      <c r="A49">
        <f>IFERROR(Stat[[#This Row],[No.]],"")</f>
        <v>48</v>
      </c>
      <c r="B49" t="str">
        <f>IFERROR(Stat[[#This Row],[服装]],"")</f>
        <v>1周年</v>
      </c>
      <c r="C49" t="str">
        <f>IFERROR(Stat[[#This Row],[名前]],"")</f>
        <v>黒尾鉄朗</v>
      </c>
      <c r="D49" t="str">
        <f>IFERROR(Stat[[#This Row],[じゃんけん]],"")</f>
        <v>チョキ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1周年黒尾鉄朗ICONIC</v>
      </c>
      <c r="I49" s="11">
        <f>IF(RZS_100[[#This Row],[名前]]="","",(100+((VLOOKUP(RZS_100[[#This Row],[No用]],Q_Stat[],13,FALSE)-Statistics100!B$6)*5)/Statistics100!B$13))</f>
        <v>108.24376361350767</v>
      </c>
      <c r="J49" s="11">
        <f>IF(RZS_100[[#This Row],[名前]]="","",(100+((VLOOKUP(RZS_100[[#This Row],[No用]],Q_Stat[],14,FALSE)-Statistics100!C$6)*5)/Statistics100!C$13))</f>
        <v>100.4817783929972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98.313775624509802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112.92772021209157</v>
      </c>
      <c r="O49" s="11">
        <f>IF(RZS_100[[#This Row],[名前]]="","",(100+((VLOOKUP(RZS_100[[#This Row],[No用]],Q_Stat[],19,FALSE)-Statistics100!H$6)*5)/Statistics100!H$13))</f>
        <v>105.39591800156866</v>
      </c>
      <c r="P49" s="11">
        <f>IF(RZS_100[[#This Row],[名前]]="","",(100+((VLOOKUP(RZS_100[[#This Row],[No用]],Q_Stat[],20,FALSE)-Statistics100!I$6)*5)/Statistics100!I$13))</f>
        <v>100</v>
      </c>
      <c r="Q49" s="11">
        <f>IF(RZS_100[[#This Row],[名前]]="","",(100+((VLOOKUP(RZS_100[[#This Row],[No用]],Q_Stat[],21,FALSE)-Statistics100!J$6)*5)/Statistics100!J$13))</f>
        <v>101.6862243754902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105.33064479993678</v>
      </c>
      <c r="T49" s="11">
        <f>IF(RZS_100[[#This Row],[名前]]="","",(100+((VLOOKUP(RZS_100[[#This Row],[No用]],Q_Stat[],26,FALSE)-Statistics100!M$6)*5)/Statistics100!M$13))</f>
        <v>109.44285650274514</v>
      </c>
      <c r="U49" s="11">
        <f>IF(RZS_100[[#This Row],[名前]]="","",(100+((VLOOKUP(RZS_100[[#This Row],[No用]],Q_Stat[],27,FALSE)-Statistics100!N$6)*5)/Statistics100!N$13))</f>
        <v>100.4817783929972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104.81778392997201</v>
      </c>
      <c r="X49" s="11">
        <f>IF(RZS_100[[#This Row],[名前]]="","",(100+((VLOOKUP(RZS_100[[#This Row],[No用]],Q_Stat[],30,FALSE)-Statistics100!Q$6)*5)/Statistics100!Q$13))</f>
        <v>107.41938725215689</v>
      </c>
    </row>
    <row r="50" spans="1:24" x14ac:dyDescent="0.35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灰羽リエーフ</v>
      </c>
      <c r="D50" t="str">
        <f>IFERROR(Stat[[#This Row],[じゃんけん]],"")</f>
        <v>グー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ユニフォーム灰羽リエーフICONIC</v>
      </c>
      <c r="I50" s="11">
        <f>IF(RZS_100[[#This Row],[名前]]="","",(100+((VLOOKUP(RZS_100[[#This Row],[No用]],Q_Stat[],13,FALSE)-Statistics100!B$6)*5)/Statistics100!B$13))</f>
        <v>97.002267776906308</v>
      </c>
      <c r="J50" s="11">
        <f>IF(RZS_100[[#This Row],[名前]]="","",(100+((VLOOKUP(RZS_100[[#This Row],[No用]],Q_Stat[],14,FALSE)-Statistics100!C$6)*5)/Statistics100!C$13))</f>
        <v>95.66399446302519</v>
      </c>
      <c r="K50" s="11">
        <f>IF(RZS_100[[#This Row],[名前]]="","",(100+((VLOOKUP(RZS_100[[#This Row],[No用]],Q_Stat[],15,FALSE)-Statistics100!D$6)*5)/Statistics100!D$13))</f>
        <v>98.875850416339858</v>
      </c>
      <c r="L50" s="11">
        <f>IF(RZS_100[[#This Row],[名前]]="","",(100+((VLOOKUP(RZS_100[[#This Row],[No用]],Q_Stat[],16,FALSE)-Statistics100!E$6)*5)/Statistics100!E$13))</f>
        <v>94.941326873529391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106.18282271013075</v>
      </c>
      <c r="O50" s="11">
        <f>IF(RZS_100[[#This Row],[名前]]="","",(100+((VLOOKUP(RZS_100[[#This Row],[No用]],Q_Stat[],19,FALSE)-Statistics100!H$6)*5)/Statistics100!H$13))</f>
        <v>97.302040999215677</v>
      </c>
      <c r="P50" s="11">
        <f>IF(RZS_100[[#This Row],[名前]]="","",(100+((VLOOKUP(RZS_100[[#This Row],[No用]],Q_Stat[],20,FALSE)-Statistics100!I$6)*5)/Statistics100!I$13))</f>
        <v>95.503401665359448</v>
      </c>
      <c r="Q50" s="11">
        <f>IF(RZS_100[[#This Row],[名前]]="","",(100+((VLOOKUP(RZS_100[[#This Row],[No用]],Q_Stat[],21,FALSE)-Statistics100!J$6)*5)/Statistics100!J$13))</f>
        <v>96.627551249019589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93.581468506198576</v>
      </c>
      <c r="T50" s="11">
        <f>IF(RZS_100[[#This Row],[名前]]="","",(100+((VLOOKUP(RZS_100[[#This Row],[No用]],Q_Stat[],26,FALSE)-Statistics100!M$6)*5)/Statistics100!M$13))</f>
        <v>96.627551249019589</v>
      </c>
      <c r="U50" s="11">
        <f>IF(RZS_100[[#This Row],[名前]]="","",(100+((VLOOKUP(RZS_100[[#This Row],[No用]],Q_Stat[],27,FALSE)-Statistics100!N$6)*5)/Statistics100!N$13))</f>
        <v>95.182216070027991</v>
      </c>
      <c r="V50" s="11">
        <f>IF(RZS_100[[#This Row],[名前]]="","",(100+((VLOOKUP(RZS_100[[#This Row],[No用]],Q_Stat[],28,FALSE)-Statistics100!O$6)*5)/Statistics100!O$13))</f>
        <v>98.875850416339858</v>
      </c>
      <c r="W50" s="11">
        <f>IF(RZS_100[[#This Row],[名前]]="","",(100+((VLOOKUP(RZS_100[[#This Row],[No用]],Q_Stat[],29,FALSE)-Statistics100!P$6)*5)/Statistics100!P$13))</f>
        <v>96.14577285602239</v>
      </c>
      <c r="X50" s="11">
        <f>IF(RZS_100[[#This Row],[名前]]="","",(100+((VLOOKUP(RZS_100[[#This Row],[No用]],Q_Stat[],30,FALSE)-Statistics100!Q$6)*5)/Statistics100!Q$13))</f>
        <v>102.02346925058825</v>
      </c>
    </row>
    <row r="51" spans="1:24" x14ac:dyDescent="0.35">
      <c r="A51">
        <f>IFERROR(Stat[[#This Row],[No.]],"")</f>
        <v>50</v>
      </c>
      <c r="B51" t="str">
        <f>IFERROR(Stat[[#This Row],[服装]],"")</f>
        <v>探偵</v>
      </c>
      <c r="C51" t="str">
        <f>IFERROR(Stat[[#This Row],[名前]],"")</f>
        <v>灰羽リエーフ</v>
      </c>
      <c r="D51" t="str">
        <f>IFERROR(Stat[[#This Row],[じゃんけん]],"")</f>
        <v>パー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探偵灰羽リエーフICONIC</v>
      </c>
      <c r="I51" s="11">
        <f>IF(RZS_100[[#This Row],[名前]]="","",(100+((VLOOKUP(RZS_100[[#This Row],[No用]],Q_Stat[],13,FALSE)-Statistics100!B$6)*5)/Statistics100!B$13))</f>
        <v>99.250566944226577</v>
      </c>
      <c r="J51" s="11">
        <f>IF(RZS_100[[#This Row],[名前]]="","",(100+((VLOOKUP(RZS_100[[#This Row],[No用]],Q_Stat[],14,FALSE)-Statistics100!C$6)*5)/Statistics100!C$13))</f>
        <v>96.627551249019589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96.627551249019589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109.55527146111116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102.24829916732027</v>
      </c>
      <c r="Q51" s="11">
        <f>IF(RZS_100[[#This Row],[名前]]="","",(100+((VLOOKUP(RZS_100[[#This Row],[No用]],Q_Stat[],21,FALSE)-Statistics100!J$6)*5)/Statistics100!J$13))</f>
        <v>98.313775624509802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96.627551249019589</v>
      </c>
      <c r="T51" s="11">
        <f>IF(RZS_100[[#This Row],[名前]]="","",(100+((VLOOKUP(RZS_100[[#This Row],[No用]],Q_Stat[],26,FALSE)-Statistics100!M$6)*5)/Statistics100!M$13))</f>
        <v>98.651020499607839</v>
      </c>
      <c r="U51" s="11">
        <f>IF(RZS_100[[#This Row],[名前]]="","",(100+((VLOOKUP(RZS_100[[#This Row],[No用]],Q_Stat[],27,FALSE)-Statistics100!N$6)*5)/Statistics100!N$13))</f>
        <v>96.14577285602239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98.072886428011188</v>
      </c>
      <c r="X51" s="11">
        <f>IF(RZS_100[[#This Row],[名前]]="","",(100+((VLOOKUP(RZS_100[[#This Row],[No用]],Q_Stat[],30,FALSE)-Statistics100!Q$6)*5)/Statistics100!Q$13))</f>
        <v>106.07040775176473</v>
      </c>
    </row>
    <row r="52" spans="1:24" x14ac:dyDescent="0.35">
      <c r="A52">
        <f>IFERROR(Stat[[#This Row],[No.]],"")</f>
        <v>51</v>
      </c>
      <c r="B52" t="str">
        <f>IFERROR(Stat[[#This Row],[服装]],"")</f>
        <v>路地裏</v>
      </c>
      <c r="C52" t="str">
        <f>IFERROR(Stat[[#This Row],[名前]],"")</f>
        <v>灰羽リエーフ</v>
      </c>
      <c r="D52" t="str">
        <f>IFERROR(Stat[[#This Row],[じゃんけん]],"")</f>
        <v>チョキ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路地裏灰羽リエーフICONIC</v>
      </c>
      <c r="I52" s="11">
        <f>IF(RZS_100[[#This Row],[名前]]="","",(100+((VLOOKUP(RZS_100[[#This Row],[No用]],Q_Stat[],13,FALSE)-Statistics100!B$6)*5)/Statistics100!B$13))</f>
        <v>101.49886611154685</v>
      </c>
      <c r="J52" s="11">
        <f>IF(RZS_100[[#This Row],[名前]]="","",(100+((VLOOKUP(RZS_100[[#This Row],[No用]],Q_Stat[],14,FALSE)-Statistics100!C$6)*5)/Statistics100!C$13))</f>
        <v>94.700437677030777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93.255102498039179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111.80357062843143</v>
      </c>
      <c r="O52" s="11">
        <f>IF(RZS_100[[#This Row],[名前]]="","",(100+((VLOOKUP(RZS_100[[#This Row],[No用]],Q_Stat[],19,FALSE)-Statistics100!H$6)*5)/Statistics100!H$13))</f>
        <v>97.302040999215677</v>
      </c>
      <c r="P52" s="11">
        <f>IF(RZS_100[[#This Row],[名前]]="","",(100+((VLOOKUP(RZS_100[[#This Row],[No用]],Q_Stat[],20,FALSE)-Statistics100!I$6)*5)/Statistics100!I$13))</f>
        <v>106.74489750196082</v>
      </c>
      <c r="Q52" s="11">
        <f>IF(RZS_100[[#This Row],[名前]]="","",(100+((VLOOKUP(RZS_100[[#This Row],[No用]],Q_Stat[],21,FALSE)-Statistics100!J$6)*5)/Statistics100!J$13))</f>
        <v>96.627551249019589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96.845128587792516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94.218659284033578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96.14577285602239</v>
      </c>
      <c r="X52" s="11">
        <f>IF(RZS_100[[#This Row],[名前]]="","",(100+((VLOOKUP(RZS_100[[#This Row],[No用]],Q_Stat[],30,FALSE)-Statistics100!Q$6)*5)/Statistics100!Q$13))</f>
        <v>108.76836675254907</v>
      </c>
    </row>
    <row r="53" spans="1:24" x14ac:dyDescent="0.35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夜久衛輔</v>
      </c>
      <c r="D53" t="str">
        <f>IFERROR(Stat[[#This Row],[じゃんけん]],"")</f>
        <v>パー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ユニフォーム夜久衛輔ICONIC</v>
      </c>
      <c r="I53" s="11">
        <f>IF(RZS_100[[#This Row],[名前]]="","",(100+((VLOOKUP(RZS_100[[#This Row],[No用]],Q_Stat[],13,FALSE)-Statistics100!B$6)*5)/Statistics100!B$13))</f>
        <v>97.751700832679731</v>
      </c>
      <c r="J53" s="11">
        <f>IF(RZS_100[[#This Row],[名前]]="","",(100+((VLOOKUP(RZS_100[[#This Row],[No用]],Q_Stat[],14,FALSE)-Statistics100!C$6)*5)/Statistics100!C$13))</f>
        <v>92.773324105041979</v>
      </c>
      <c r="K53" s="11">
        <f>IF(RZS_100[[#This Row],[名前]]="","",(100+((VLOOKUP(RZS_100[[#This Row],[No用]],Q_Stat[],15,FALSE)-Statistics100!D$6)*5)/Statistics100!D$13))</f>
        <v>102.24829916732027</v>
      </c>
      <c r="L53" s="11">
        <f>IF(RZS_100[[#This Row],[名前]]="","",(100+((VLOOKUP(RZS_100[[#This Row],[No用]],Q_Stat[],16,FALSE)-Statistics100!E$6)*5)/Statistics100!E$13))</f>
        <v>105.05867312647061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91.568878122548981</v>
      </c>
      <c r="O53" s="11">
        <f>IF(RZS_100[[#This Row],[名前]]="","",(100+((VLOOKUP(RZS_100[[#This Row],[No用]],Q_Stat[],19,FALSE)-Statistics100!H$6)*5)/Statistics100!H$13))</f>
        <v>117.53673350509813</v>
      </c>
      <c r="P53" s="11">
        <f>IF(RZS_100[[#This Row],[名前]]="","",(100+((VLOOKUP(RZS_100[[#This Row],[No用]],Q_Stat[],20,FALSE)-Statistics100!I$6)*5)/Statistics100!I$13))</f>
        <v>97.751700832679731</v>
      </c>
      <c r="Q53" s="11">
        <f>IF(RZS_100[[#This Row],[名前]]="","",(100+((VLOOKUP(RZS_100[[#This Row],[No用]],Q_Stat[],21,FALSE)-Statistics100!J$6)*5)/Statistics100!J$13))</f>
        <v>108.43112187745102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100.10878866938647</v>
      </c>
      <c r="T53" s="11">
        <f>IF(RZS_100[[#This Row],[名前]]="","",(100+((VLOOKUP(RZS_100[[#This Row],[No用]],Q_Stat[],26,FALSE)-Statistics100!M$6)*5)/Statistics100!M$13))</f>
        <v>100</v>
      </c>
      <c r="U53" s="11">
        <f>IF(RZS_100[[#This Row],[名前]]="","",(100+((VLOOKUP(RZS_100[[#This Row],[No用]],Q_Stat[],27,FALSE)-Statistics100!N$6)*5)/Statistics100!N$13))</f>
        <v>98.554664821008402</v>
      </c>
      <c r="V53" s="11">
        <f>IF(RZS_100[[#This Row],[名前]]="","",(100+((VLOOKUP(RZS_100[[#This Row],[No用]],Q_Stat[],28,FALSE)-Statistics100!O$6)*5)/Statistics100!O$13))</f>
        <v>102.24829916732027</v>
      </c>
      <c r="W53" s="11">
        <f>IF(RZS_100[[#This Row],[名前]]="","",(100+((VLOOKUP(RZS_100[[#This Row],[No用]],Q_Stat[],29,FALSE)-Statistics100!P$6)*5)/Statistics100!P$13))</f>
        <v>117.34402214789925</v>
      </c>
      <c r="X53" s="11">
        <f>IF(RZS_100[[#This Row],[名前]]="","",(100+((VLOOKUP(RZS_100[[#This Row],[No用]],Q_Stat[],30,FALSE)-Statistics100!Q$6)*5)/Statistics100!Q$13))</f>
        <v>93.929592248235267</v>
      </c>
    </row>
    <row r="54" spans="1:24" x14ac:dyDescent="0.35">
      <c r="A54">
        <f>IFERROR(Stat[[#This Row],[No.]],"")</f>
        <v>53</v>
      </c>
      <c r="B54" t="str">
        <f>IFERROR(Stat[[#This Row],[服装]],"")</f>
        <v>1周年</v>
      </c>
      <c r="C54" t="str">
        <f>IFERROR(Stat[[#This Row],[名前]],"")</f>
        <v>夜久衛輔</v>
      </c>
      <c r="D54" t="str">
        <f>IFERROR(Stat[[#This Row],[じゃんけん]],"")</f>
        <v>チョキ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1周年夜久衛輔ICONIC</v>
      </c>
      <c r="I54" s="11">
        <f>IF(RZS_100[[#This Row],[名前]]="","",(100+((VLOOKUP(RZS_100[[#This Row],[No用]],Q_Stat[],13,FALSE)-Statistics100!B$6)*5)/Statistics100!B$13))</f>
        <v>98.501133888453154</v>
      </c>
      <c r="J54" s="11">
        <f>IF(RZS_100[[#This Row],[名前]]="","",(100+((VLOOKUP(RZS_100[[#This Row],[No用]],Q_Stat[],14,FALSE)-Statistics100!C$6)*5)/Statistics100!C$13))</f>
        <v>93.736880891036378</v>
      </c>
      <c r="K54" s="11">
        <f>IF(RZS_100[[#This Row],[名前]]="","",(100+((VLOOKUP(RZS_100[[#This Row],[No用]],Q_Stat[],15,FALSE)-Statistics100!D$6)*5)/Statistics100!D$13))</f>
        <v>105.62074791830068</v>
      </c>
      <c r="L54" s="11">
        <f>IF(RZS_100[[#This Row],[名前]]="","",(100+((VLOOKUP(RZS_100[[#This Row],[No用]],Q_Stat[],16,FALSE)-Statistics100!E$6)*5)/Statistics100!E$13))</f>
        <v>106.74489750196082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92.693027706209108</v>
      </c>
      <c r="O54" s="11">
        <f>IF(RZS_100[[#This Row],[名前]]="","",(100+((VLOOKUP(RZS_100[[#This Row],[No用]],Q_Stat[],19,FALSE)-Statistics100!H$6)*5)/Statistics100!H$13))</f>
        <v>121.58367200627463</v>
      </c>
      <c r="P54" s="11">
        <f>IF(RZS_100[[#This Row],[名前]]="","",(100+((VLOOKUP(RZS_100[[#This Row],[No用]],Q_Stat[],20,FALSE)-Statistics100!I$6)*5)/Statistics100!I$13))</f>
        <v>100</v>
      </c>
      <c r="Q54" s="11">
        <f>IF(RZS_100[[#This Row],[名前]]="","",(100+((VLOOKUP(RZS_100[[#This Row],[No用]],Q_Stat[],21,FALSE)-Statistics100!J$6)*5)/Statistics100!J$13))</f>
        <v>113.48979500392164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103.15487141220748</v>
      </c>
      <c r="T54" s="11">
        <f>IF(RZS_100[[#This Row],[名前]]="","",(100+((VLOOKUP(RZS_100[[#This Row],[No用]],Q_Stat[],26,FALSE)-Statistics100!M$6)*5)/Statistics100!M$13))</f>
        <v>100.67448975019609</v>
      </c>
      <c r="U54" s="11">
        <f>IF(RZS_100[[#This Row],[名前]]="","",(100+((VLOOKUP(RZS_100[[#This Row],[No用]],Q_Stat[],27,FALSE)-Statistics100!N$6)*5)/Statistics100!N$13))</f>
        <v>99.518221607002801</v>
      </c>
      <c r="V54" s="11">
        <f>IF(RZS_100[[#This Row],[名前]]="","",(100+((VLOOKUP(RZS_100[[#This Row],[No用]],Q_Stat[],28,FALSE)-Statistics100!O$6)*5)/Statistics100!O$13))</f>
        <v>105.62074791830068</v>
      </c>
      <c r="W54" s="11">
        <f>IF(RZS_100[[#This Row],[名前]]="","",(100+((VLOOKUP(RZS_100[[#This Row],[No用]],Q_Stat[],29,FALSE)-Statistics100!P$6)*5)/Statistics100!P$13))</f>
        <v>123.12536286386566</v>
      </c>
      <c r="X54" s="11">
        <f>IF(RZS_100[[#This Row],[名前]]="","",(100+((VLOOKUP(RZS_100[[#This Row],[No用]],Q_Stat[],30,FALSE)-Statistics100!Q$6)*5)/Statistics100!Q$13))</f>
        <v>95.278571748627428</v>
      </c>
    </row>
    <row r="55" spans="1:24" x14ac:dyDescent="0.35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福永招平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ユニフォーム福永招平ICONIC</v>
      </c>
      <c r="I55" s="11">
        <f>IF(RZS_100[[#This Row],[名前]]="","",(100+((VLOOKUP(RZS_100[[#This Row],[No用]],Q_Stat[],13,FALSE)-Statistics100!B$6)*5)/Statistics100!B$13))</f>
        <v>97.002267776906308</v>
      </c>
      <c r="J55" s="11">
        <f>IF(RZS_100[[#This Row],[名前]]="","",(100+((VLOOKUP(RZS_100[[#This Row],[No用]],Q_Stat[],14,FALSE)-Statistics100!C$6)*5)/Statistics100!C$13))</f>
        <v>94.700437677030777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89.882653747058768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97.18962604084966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95.503401665359448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91.840849796015135</v>
      </c>
      <c r="T55" s="11">
        <f>IF(RZS_100[[#This Row],[名前]]="","",(100+((VLOOKUP(RZS_100[[#This Row],[No用]],Q_Stat[],26,FALSE)-Statistics100!M$6)*5)/Statistics100!M$13))</f>
        <v>96.627551249019589</v>
      </c>
      <c r="U55" s="11">
        <f>IF(RZS_100[[#This Row],[名前]]="","",(100+((VLOOKUP(RZS_100[[#This Row],[No用]],Q_Stat[],27,FALSE)-Statistics100!N$6)*5)/Statistics100!N$13))</f>
        <v>93.255102498039179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97.109329642016789</v>
      </c>
      <c r="X55" s="11">
        <f>IF(RZS_100[[#This Row],[名前]]="","",(100+((VLOOKUP(RZS_100[[#This Row],[No用]],Q_Stat[],30,FALSE)-Statistics100!Q$6)*5)/Statistics100!Q$13))</f>
        <v>96.627551249019589</v>
      </c>
    </row>
    <row r="56" spans="1:24" x14ac:dyDescent="0.35">
      <c r="A56">
        <f>IFERROR(Stat[[#This Row],[No.]],"")</f>
        <v>55</v>
      </c>
      <c r="B56" t="str">
        <f>IFERROR(Stat[[#This Row],[服装]],"")</f>
        <v>バーガー</v>
      </c>
      <c r="C56" t="str">
        <f>IFERROR(Stat[[#This Row],[名前]],"")</f>
        <v>福永招平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バーガー福永招平ICONIC</v>
      </c>
      <c r="I56" s="11">
        <f>IF(RZS_100[[#This Row],[名前]]="","",(100+((VLOOKUP(RZS_100[[#This Row],[No用]],Q_Stat[],13,FALSE)-Statistics100!B$6)*5)/Statistics100!B$13))</f>
        <v>99.250566944226577</v>
      </c>
      <c r="J56" s="11">
        <f>IF(RZS_100[[#This Row],[名前]]="","",(100+((VLOOKUP(RZS_100[[#This Row],[No用]],Q_Stat[],14,FALSE)-Statistics100!C$6)*5)/Statistics100!C$13))</f>
        <v>97.591108035013988</v>
      </c>
      <c r="K56" s="11">
        <f>IF(RZS_100[[#This Row],[名前]]="","",(100+((VLOOKUP(RZS_100[[#This Row],[No用]],Q_Stat[],15,FALSE)-Statistics100!D$6)*5)/Statistics100!D$13))</f>
        <v>101.12414958366014</v>
      </c>
      <c r="L56" s="11">
        <f>IF(RZS_100[[#This Row],[名前]]="","",(100+((VLOOKUP(RZS_100[[#This Row],[No用]],Q_Stat[],16,FALSE)-Statistics100!E$6)*5)/Statistics100!E$13))</f>
        <v>91.568878122548981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98.313775624509802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102.24829916732027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94.886932538836149</v>
      </c>
      <c r="T56" s="11">
        <f>IF(RZS_100[[#This Row],[名前]]="","",(100+((VLOOKUP(RZS_100[[#This Row],[No用]],Q_Stat[],26,FALSE)-Statistics100!M$6)*5)/Statistics100!M$13))</f>
        <v>98.651020499607839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101.12414958366014</v>
      </c>
      <c r="W56" s="11">
        <f>IF(RZS_100[[#This Row],[名前]]="","",(100+((VLOOKUP(RZS_100[[#This Row],[No用]],Q_Stat[],29,FALSE)-Statistics100!P$6)*5)/Statistics100!P$13))</f>
        <v>99.036443214005601</v>
      </c>
      <c r="X56" s="11">
        <f>IF(RZS_100[[#This Row],[名前]]="","",(100+((VLOOKUP(RZS_100[[#This Row],[No用]],Q_Stat[],30,FALSE)-Statistics100!Q$6)*5)/Statistics100!Q$13))</f>
        <v>99.325510249803912</v>
      </c>
    </row>
    <row r="57" spans="1:24" x14ac:dyDescent="0.35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犬岡走</v>
      </c>
      <c r="D57" t="str">
        <f>IFERROR(Stat[[#This Row],[じゃんけん]],"")</f>
        <v>パー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ユニフォーム犬岡走ICONIC</v>
      </c>
      <c r="I57" s="11">
        <f>IF(RZS_100[[#This Row],[名前]]="","",(100+((VLOOKUP(RZS_100[[#This Row],[No用]],Q_Stat[],13,FALSE)-Statistics100!B$6)*5)/Statistics100!B$13))</f>
        <v>95.503401665359448</v>
      </c>
      <c r="J57" s="11">
        <f>IF(RZS_100[[#This Row],[名前]]="","",(100+((VLOOKUP(RZS_100[[#This Row],[No用]],Q_Stat[],14,FALSE)-Statistics100!C$6)*5)/Statistics100!C$13))</f>
        <v>95.66399446302519</v>
      </c>
      <c r="K57" s="11">
        <f>IF(RZS_100[[#This Row],[名前]]="","",(100+((VLOOKUP(RZS_100[[#This Row],[No用]],Q_Stat[],15,FALSE)-Statistics100!D$6)*5)/Statistics100!D$13))</f>
        <v>98.875850416339858</v>
      </c>
      <c r="L57" s="11">
        <f>IF(RZS_100[[#This Row],[名前]]="","",(100+((VLOOKUP(RZS_100[[#This Row],[No用]],Q_Stat[],16,FALSE)-Statistics100!E$6)*5)/Statistics100!E$13))</f>
        <v>94.941326873529391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103.93452354281048</v>
      </c>
      <c r="O57" s="11">
        <f>IF(RZS_100[[#This Row],[名前]]="","",(100+((VLOOKUP(RZS_100[[#This Row],[No用]],Q_Stat[],19,FALSE)-Statistics100!H$6)*5)/Statistics100!H$13))</f>
        <v>97.302040999215677</v>
      </c>
      <c r="P57" s="11">
        <f>IF(RZS_100[[#This Row],[名前]]="","",(100+((VLOOKUP(RZS_100[[#This Row],[No用]],Q_Stat[],20,FALSE)-Statistics100!I$6)*5)/Statistics100!I$13))</f>
        <v>97.751700832679731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94.886932538836149</v>
      </c>
      <c r="T57" s="11">
        <f>IF(RZS_100[[#This Row],[名前]]="","",(100+((VLOOKUP(RZS_100[[#This Row],[No用]],Q_Stat[],26,FALSE)-Statistics100!M$6)*5)/Statistics100!M$13))</f>
        <v>95.278571748627428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98.875850416339858</v>
      </c>
      <c r="W57" s="11">
        <f>IF(RZS_100[[#This Row],[名前]]="","",(100+((VLOOKUP(RZS_100[[#This Row],[No用]],Q_Stat[],29,FALSE)-Statistics100!P$6)*5)/Statistics100!P$13))</f>
        <v>96.14577285602239</v>
      </c>
      <c r="X57" s="11">
        <f>IF(RZS_100[[#This Row],[名前]]="","",(100+((VLOOKUP(RZS_100[[#This Row],[No用]],Q_Stat[],30,FALSE)-Statistics100!Q$6)*5)/Statistics100!Q$13))</f>
        <v>101.34897950039216</v>
      </c>
    </row>
    <row r="58" spans="1:24" x14ac:dyDescent="0.35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犬岡走</v>
      </c>
      <c r="D58" t="str">
        <f>IFERROR(Stat[[#This Row],[じゃんけん]],"")</f>
        <v>チョキ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新年犬岡走ICONIC</v>
      </c>
      <c r="I58" s="11">
        <f>IF(RZS_100[[#This Row],[名前]]="","",(100+((VLOOKUP(RZS_100[[#This Row],[No用]],Q_Stat[],13,FALSE)-Statistics100!B$6)*5)/Statistics100!B$13))</f>
        <v>97.751700832679731</v>
      </c>
      <c r="J58" s="11">
        <f>IF(RZS_100[[#This Row],[名前]]="","",(100+((VLOOKUP(RZS_100[[#This Row],[No用]],Q_Stat[],14,FALSE)-Statistics100!C$6)*5)/Statistics100!C$13))</f>
        <v>96.627551249019589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96.627551249019589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107.30697229379089</v>
      </c>
      <c r="O58" s="11">
        <f>IF(RZS_100[[#This Row],[名前]]="","",(100+((VLOOKUP(RZS_100[[#This Row],[No用]],Q_Stat[],19,FALSE)-Statistics100!H$6)*5)/Statistics100!H$13))</f>
        <v>98.651020499607839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97.933015281657163</v>
      </c>
      <c r="T58" s="11">
        <f>IF(RZS_100[[#This Row],[名前]]="","",(100+((VLOOKUP(RZS_100[[#This Row],[No用]],Q_Stat[],26,FALSE)-Statistics100!M$6)*5)/Statistics100!M$13))</f>
        <v>97.302040999215677</v>
      </c>
      <c r="U58" s="11">
        <f>IF(RZS_100[[#This Row],[名前]]="","",(100+((VLOOKUP(RZS_100[[#This Row],[No用]],Q_Stat[],27,FALSE)-Statistics100!N$6)*5)/Statistics100!N$13))</f>
        <v>96.14577285602239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98.072886428011188</v>
      </c>
      <c r="X58" s="11">
        <f>IF(RZS_100[[#This Row],[名前]]="","",(100+((VLOOKUP(RZS_100[[#This Row],[No用]],Q_Stat[],30,FALSE)-Statistics100!Q$6)*5)/Statistics100!Q$13))</f>
        <v>105.39591800156866</v>
      </c>
    </row>
    <row r="59" spans="1:24" x14ac:dyDescent="0.35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山本猛虎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ユニフォーム山本猛虎ICONIC</v>
      </c>
      <c r="I59" s="11">
        <f>IF(RZS_100[[#This Row],[名前]]="","",(100+((VLOOKUP(RZS_100[[#This Row],[No用]],Q_Stat[],13,FALSE)-Statistics100!B$6)*5)/Statistics100!B$13))</f>
        <v>101.49886611154685</v>
      </c>
      <c r="J59" s="11">
        <f>IF(RZS_100[[#This Row],[名前]]="","",(100+((VLOOKUP(RZS_100[[#This Row],[No用]],Q_Stat[],14,FALSE)-Statistics100!C$6)*5)/Statistics100!C$13))</f>
        <v>101.4453351789916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97.18962604084966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95.503401665359448</v>
      </c>
      <c r="Q59" s="11">
        <f>IF(RZS_100[[#This Row],[名前]]="","",(100+((VLOOKUP(RZS_100[[#This Row],[No用]],Q_Stat[],21,FALSE)-Statistics100!J$6)*5)/Statistics100!J$13))</f>
        <v>96.627551249019589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97.062705926565457</v>
      </c>
      <c r="T59" s="11">
        <f>IF(RZS_100[[#This Row],[名前]]="","",(100+((VLOOKUP(RZS_100[[#This Row],[No用]],Q_Stat[],26,FALSE)-Statistics100!M$6)*5)/Statistics100!M$13))</f>
        <v>103.37244875098041</v>
      </c>
      <c r="U59" s="11">
        <f>IF(RZS_100[[#This Row],[名前]]="","",(100+((VLOOKUP(RZS_100[[#This Row],[No用]],Q_Stat[],27,FALSE)-Statistics100!N$6)*5)/Statistics100!N$13))</f>
        <v>101.92711357198881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97.109329642016789</v>
      </c>
      <c r="X59" s="11">
        <f>IF(RZS_100[[#This Row],[名前]]="","",(100+((VLOOKUP(RZS_100[[#This Row],[No用]],Q_Stat[],30,FALSE)-Statistics100!Q$6)*5)/Statistics100!Q$13))</f>
        <v>96.627551249019589</v>
      </c>
    </row>
    <row r="60" spans="1:24" x14ac:dyDescent="0.35">
      <c r="A60">
        <f>IFERROR(Stat[[#This Row],[No.]],"")</f>
        <v>59</v>
      </c>
      <c r="B60" t="str">
        <f>IFERROR(Stat[[#This Row],[服装]],"")</f>
        <v>新年</v>
      </c>
      <c r="C60" t="str">
        <f>IFERROR(Stat[[#This Row],[名前]],"")</f>
        <v>山本猛虎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新年山本猛虎ICONIC</v>
      </c>
      <c r="I60" s="11">
        <f>IF(RZS_100[[#This Row],[名前]]="","",(100+((VLOOKUP(RZS_100[[#This Row],[No用]],Q_Stat[],13,FALSE)-Statistics100!B$6)*5)/Statistics100!B$13))</f>
        <v>103.74716527886712</v>
      </c>
      <c r="J60" s="11">
        <f>IF(RZS_100[[#This Row],[名前]]="","",(100+((VLOOKUP(RZS_100[[#This Row],[No用]],Q_Stat[],14,FALSE)-Statistics100!C$6)*5)/Statistics100!C$13))</f>
        <v>103.37244875098041</v>
      </c>
      <c r="K60" s="11">
        <f>IF(RZS_100[[#This Row],[名前]]="","",(100+((VLOOKUP(RZS_100[[#This Row],[No用]],Q_Stat[],15,FALSE)-Statistics100!D$6)*5)/Statistics100!D$13))</f>
        <v>101.12414958366014</v>
      </c>
      <c r="L60" s="11">
        <f>IF(RZS_100[[#This Row],[名前]]="","",(100+((VLOOKUP(RZS_100[[#This Row],[No用]],Q_Stat[],16,FALSE)-Statistics100!E$6)*5)/Statistics100!E$13))</f>
        <v>103.37244875098041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98.313775624509802</v>
      </c>
      <c r="O60" s="11">
        <f>IF(RZS_100[[#This Row],[名前]]="","",(100+((VLOOKUP(RZS_100[[#This Row],[No用]],Q_Stat[],19,FALSE)-Statistics100!H$6)*5)/Statistics100!H$13))</f>
        <v>100</v>
      </c>
      <c r="P60" s="11">
        <f>IF(RZS_100[[#This Row],[名前]]="","",(100+((VLOOKUP(RZS_100[[#This Row],[No用]],Q_Stat[],20,FALSE)-Statistics100!I$6)*5)/Statistics100!I$13))</f>
        <v>102.24829916732027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99.89121133061353</v>
      </c>
      <c r="T60" s="11">
        <f>IF(RZS_100[[#This Row],[名前]]="","",(100+((VLOOKUP(RZS_100[[#This Row],[No用]],Q_Stat[],26,FALSE)-Statistics100!M$6)*5)/Statistics100!M$13))</f>
        <v>105.39591800156866</v>
      </c>
      <c r="U60" s="11">
        <f>IF(RZS_100[[#This Row],[名前]]="","",(100+((VLOOKUP(RZS_100[[#This Row],[No用]],Q_Stat[],27,FALSE)-Statistics100!N$6)*5)/Statistics100!N$13))</f>
        <v>103.37244875098041</v>
      </c>
      <c r="V60" s="11">
        <f>IF(RZS_100[[#This Row],[名前]]="","",(100+((VLOOKUP(RZS_100[[#This Row],[No用]],Q_Stat[],28,FALSE)-Statistics100!O$6)*5)/Statistics100!O$13))</f>
        <v>101.12414958366014</v>
      </c>
      <c r="W60" s="11">
        <f>IF(RZS_100[[#This Row],[名前]]="","",(100+((VLOOKUP(RZS_100[[#This Row],[No用]],Q_Stat[],29,FALSE)-Statistics100!P$6)*5)/Statistics100!P$13))</f>
        <v>99.036443214005601</v>
      </c>
      <c r="X60" s="11">
        <f>IF(RZS_100[[#This Row],[名前]]="","",(100+((VLOOKUP(RZS_100[[#This Row],[No用]],Q_Stat[],30,FALSE)-Statistics100!Q$6)*5)/Statistics100!Q$13))</f>
        <v>99.325510249803912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芝山優生</v>
      </c>
      <c r="D61" t="str">
        <f>IFERROR(Stat[[#This Row],[じゃんけん]],"")</f>
        <v>パー</v>
      </c>
      <c r="E61" t="str">
        <f>IFERROR(Stat[[#This Row],[ポジション]],"")</f>
        <v>Li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ユニフォーム芝山優生ICONIC</v>
      </c>
      <c r="I61" s="11">
        <f>IF(RZS_100[[#This Row],[名前]]="","",(100+((VLOOKUP(RZS_100[[#This Row],[No用]],Q_Stat[],13,FALSE)-Statistics100!B$6)*5)/Statistics100!B$13))</f>
        <v>95.503401665359448</v>
      </c>
      <c r="J61" s="11">
        <f>IF(RZS_100[[#This Row],[名前]]="","",(100+((VLOOKUP(RZS_100[[#This Row],[No用]],Q_Stat[],14,FALSE)-Statistics100!C$6)*5)/Statistics100!C$13))</f>
        <v>91.80976731904758</v>
      </c>
      <c r="K61" s="11">
        <f>IF(RZS_100[[#This Row],[名前]]="","",(100+((VLOOKUP(RZS_100[[#This Row],[No用]],Q_Stat[],15,FALSE)-Statistics100!D$6)*5)/Statistics100!D$13))</f>
        <v>98.875850416339858</v>
      </c>
      <c r="L61" s="11">
        <f>IF(RZS_100[[#This Row],[名前]]="","",(100+((VLOOKUP(RZS_100[[#This Row],[No用]],Q_Stat[],16,FALSE)-Statistics100!E$6)*5)/Statistics100!E$13))</f>
        <v>98.313775624509802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91.568878122548981</v>
      </c>
      <c r="O61" s="11">
        <f>IF(RZS_100[[#This Row],[名前]]="","",(100+((VLOOKUP(RZS_100[[#This Row],[No用]],Q_Stat[],19,FALSE)-Statistics100!H$6)*5)/Statistics100!H$13))</f>
        <v>108.09387700235298</v>
      </c>
      <c r="P61" s="11">
        <f>IF(RZS_100[[#This Row],[名前]]="","",(100+((VLOOKUP(RZS_100[[#This Row],[No用]],Q_Stat[],20,FALSE)-Statistics100!I$6)*5)/Statistics100!I$13))</f>
        <v>104.49659833464055</v>
      </c>
      <c r="Q61" s="11">
        <f>IF(RZS_100[[#This Row],[名前]]="","",(100+((VLOOKUP(RZS_100[[#This Row],[No用]],Q_Stat[],21,FALSE)-Statistics100!J$6)*5)/Statistics100!J$13))</f>
        <v>105.05867312647061</v>
      </c>
      <c r="R61" s="11">
        <f>IF(RZS_100[[#This Row],[名前]]="","",(100+((VLOOKUP(RZS_100[[#This Row],[No用]],Q_Stat[],22,FALSE)-Statistics100!K$6)*5)/Statistics100!K$13))</f>
        <v>97.976530749411751</v>
      </c>
      <c r="S61" s="11">
        <f>IF(RZS_100[[#This Row],[名前]]="","",(100+((VLOOKUP(RZS_100[[#This Row],[No用]],Q_Stat[],25,FALSE)-Statistics100!L$6)*5)/Statistics100!L$13))</f>
        <v>94.886932538836149</v>
      </c>
      <c r="T61" s="11">
        <f>IF(RZS_100[[#This Row],[名前]]="","",(100+((VLOOKUP(RZS_100[[#This Row],[No用]],Q_Stat[],26,FALSE)-Statistics100!M$6)*5)/Statistics100!M$13))</f>
        <v>95.278571748627428</v>
      </c>
      <c r="U61" s="11">
        <f>IF(RZS_100[[#This Row],[名前]]="","",(100+((VLOOKUP(RZS_100[[#This Row],[No用]],Q_Stat[],27,FALSE)-Statistics100!N$6)*5)/Statistics100!N$13))</f>
        <v>94.218659284033578</v>
      </c>
      <c r="V61" s="11">
        <f>IF(RZS_100[[#This Row],[名前]]="","",(100+((VLOOKUP(RZS_100[[#This Row],[No用]],Q_Stat[],28,FALSE)-Statistics100!O$6)*5)/Statistics100!O$13))</f>
        <v>98.875850416339858</v>
      </c>
      <c r="W61" s="11">
        <f>IF(RZS_100[[#This Row],[名前]]="","",(100+((VLOOKUP(RZS_100[[#This Row],[No用]],Q_Stat[],29,FALSE)-Statistics100!P$6)*5)/Statistics100!P$13))</f>
        <v>108.67201107394962</v>
      </c>
      <c r="X61" s="11">
        <f>IF(RZS_100[[#This Row],[名前]]="","",(100+((VLOOKUP(RZS_100[[#This Row],[No用]],Q_Stat[],30,FALSE)-Statistics100!Q$6)*5)/Statistics100!Q$13))</f>
        <v>95.953061498823502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ユニフォーム海信之ICONIC</v>
      </c>
      <c r="I62" s="11">
        <f>IF(RZS_100[[#This Row],[名前]]="","",(100+((VLOOKUP(RZS_100[[#This Row],[No用]],Q_Stat[],13,FALSE)-Statistics100!B$6)*5)/Statistics100!B$13))</f>
        <v>102.24829916732027</v>
      </c>
      <c r="J62" s="11">
        <f>IF(RZS_100[[#This Row],[名前]]="","",(100+((VLOOKUP(RZS_100[[#This Row],[No用]],Q_Stat[],14,FALSE)-Statistics100!C$6)*5)/Statistics100!C$13))</f>
        <v>102.40889196498601</v>
      </c>
      <c r="K62" s="11">
        <f>IF(RZS_100[[#This Row],[名前]]="","",(100+((VLOOKUP(RZS_100[[#This Row],[No用]],Q_Stat[],15,FALSE)-Statistics100!D$6)*5)/Statistics100!D$13))</f>
        <v>100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100</v>
      </c>
      <c r="N62" s="11">
        <f>IF(RZS_100[[#This Row],[名前]]="","",(100+((VLOOKUP(RZS_100[[#This Row],[No用]],Q_Stat[],18,FALSE)-Statistics100!G$6)*5)/Statistics100!G$13))</f>
        <v>98.313775624509802</v>
      </c>
      <c r="O62" s="11">
        <f>IF(RZS_100[[#This Row],[名前]]="","",(100+((VLOOKUP(RZS_100[[#This Row],[No用]],Q_Stat[],19,FALSE)-Statistics100!H$6)*5)/Statistics100!H$13))</f>
        <v>101.34897950039216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110.11734625294123</v>
      </c>
      <c r="S62" s="11">
        <f>IF(RZS_100[[#This Row],[名前]]="","",(100+((VLOOKUP(RZS_100[[#This Row],[No用]],Q_Stat[],25,FALSE)-Statistics100!L$6)*5)/Statistics100!L$13))</f>
        <v>103.37244875098041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102.40889196498601</v>
      </c>
      <c r="V62" s="11">
        <f>IF(RZS_100[[#This Row],[名前]]="","",(100+((VLOOKUP(RZS_100[[#This Row],[No用]],Q_Stat[],28,FALSE)-Statistics100!O$6)*5)/Statistics100!O$13))</f>
        <v>100</v>
      </c>
      <c r="W62" s="11">
        <f>IF(RZS_100[[#This Row],[名前]]="","",(100+((VLOOKUP(RZS_100[[#This Row],[No用]],Q_Stat[],29,FALSE)-Statistics100!P$6)*5)/Statistics100!P$13))</f>
        <v>100</v>
      </c>
      <c r="X62" s="11">
        <f>IF(RZS_100[[#This Row],[名前]]="","",(100+((VLOOKUP(RZS_100[[#This Row],[No用]],Q_Stat[],30,FALSE)-Statistics100!Q$6)*5)/Statistics100!Q$13))</f>
        <v>97.976530749411751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YELL</v>
      </c>
      <c r="H63" t="str">
        <f>IFERROR(SetNo[[#This Row],[No.用]],"")</f>
        <v>ユニフォーム海信之YELL</v>
      </c>
      <c r="I63" s="11">
        <f>IF(RZS_100[[#This Row],[名前]]="","",(100+((VLOOKUP(RZS_100[[#This Row],[No用]],Q_Stat[],13,FALSE)-Statistics100!B$6)*5)/Statistics100!B$13))</f>
        <v>99.250566944226577</v>
      </c>
      <c r="J63" s="11">
        <f>IF(RZS_100[[#This Row],[名前]]="","",(100+((VLOOKUP(RZS_100[[#This Row],[No用]],Q_Stat[],14,FALSE)-Statistics100!C$6)*5)/Statistics100!C$13))</f>
        <v>98.554664821008402</v>
      </c>
      <c r="K63" s="11">
        <f>IF(RZS_100[[#This Row],[名前]]="","",(100+((VLOOKUP(RZS_100[[#This Row],[No用]],Q_Stat[],15,FALSE)-Statistics100!D$6)*5)/Statistics100!D$13))</f>
        <v>95.503401665359448</v>
      </c>
      <c r="L63" s="11">
        <f>IF(RZS_100[[#This Row],[名前]]="","",(100+((VLOOKUP(RZS_100[[#This Row],[No用]],Q_Stat[],16,FALSE)-Statistics100!E$6)*5)/Statistics100!E$13))</f>
        <v>94.941326873529391</v>
      </c>
      <c r="M63" s="11">
        <f>IF(RZS_100[[#This Row],[名前]]="","",(100+((VLOOKUP(RZS_100[[#This Row],[No用]],Q_Stat[],17,FALSE)-Statistics100!F$6)*5)/Statistics100!F$13))</f>
        <v>96.627551249019589</v>
      </c>
      <c r="N63" s="11">
        <f>IF(RZS_100[[#This Row],[名前]]="","",(100+((VLOOKUP(RZS_100[[#This Row],[No用]],Q_Stat[],18,FALSE)-Statistics100!G$6)*5)/Statistics100!G$13))</f>
        <v>93.81717728986925</v>
      </c>
      <c r="O63" s="11">
        <f>IF(RZS_100[[#This Row],[名前]]="","",(100+((VLOOKUP(RZS_100[[#This Row],[No用]],Q_Stat[],19,FALSE)-Statistics100!H$6)*5)/Statistics100!H$13))</f>
        <v>95.953061498823502</v>
      </c>
      <c r="P63" s="11">
        <f>IF(RZS_100[[#This Row],[名前]]="","",(100+((VLOOKUP(RZS_100[[#This Row],[No用]],Q_Stat[],20,FALSE)-Statistics100!I$6)*5)/Statistics100!I$13))</f>
        <v>88.758504163398641</v>
      </c>
      <c r="Q63" s="11">
        <f>IF(RZS_100[[#This Row],[名前]]="","",(100+((VLOOKUP(RZS_100[[#This Row],[No用]],Q_Stat[],21,FALSE)-Statistics100!J$6)*5)/Statistics100!J$13))</f>
        <v>91.568878122548981</v>
      </c>
      <c r="R63" s="11">
        <f>IF(RZS_100[[#This Row],[名前]]="","",(100+((VLOOKUP(RZS_100[[#This Row],[No用]],Q_Stat[],22,FALSE)-Statistics100!K$6)*5)/Statistics100!K$13))</f>
        <v>108.76836675254907</v>
      </c>
      <c r="S63" s="11">
        <f>IF(RZS_100[[#This Row],[名前]]="","",(100+((VLOOKUP(RZS_100[[#This Row],[No用]],Q_Stat[],25,FALSE)-Statistics100!L$6)*5)/Statistics100!L$13))</f>
        <v>95.539664555154943</v>
      </c>
      <c r="T63" s="11">
        <f>IF(RZS_100[[#This Row],[名前]]="","",(100+((VLOOKUP(RZS_100[[#This Row],[No用]],Q_Stat[],26,FALSE)-Statistics100!M$6)*5)/Statistics100!M$13))</f>
        <v>100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95.503401665359448</v>
      </c>
      <c r="W63" s="11">
        <f>IF(RZS_100[[#This Row],[名前]]="","",(100+((VLOOKUP(RZS_100[[#This Row],[No用]],Q_Stat[],29,FALSE)-Statistics100!P$6)*5)/Statistics100!P$13))</f>
        <v>92.29154571204478</v>
      </c>
      <c r="X63" s="11">
        <f>IF(RZS_100[[#This Row],[名前]]="","",(100+((VLOOKUP(RZS_100[[#This Row],[No用]],Q_Stat[],30,FALSE)-Statistics100!Q$6)*5)/Statistics100!Q$13))</f>
        <v>92.580612747843105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ユニフォーム青根高伸ICONIC</v>
      </c>
      <c r="I64" s="11">
        <f>IF(RZS_100[[#This Row],[名前]]="","",(100+((VLOOKUP(RZS_100[[#This Row],[No用]],Q_Stat[],13,FALSE)-Statistics100!B$6)*5)/Statistics100!B$13))</f>
        <v>102.99773222309369</v>
      </c>
      <c r="J64" s="11">
        <f>IF(RZS_100[[#This Row],[名前]]="","",(100+((VLOOKUP(RZS_100[[#This Row],[No用]],Q_Stat[],14,FALSE)-Statistics100!C$6)*5)/Statistics100!C$13))</f>
        <v>94.700437677030777</v>
      </c>
      <c r="K64" s="11">
        <f>IF(RZS_100[[#This Row],[名前]]="","",(100+((VLOOKUP(RZS_100[[#This Row],[No用]],Q_Stat[],15,FALSE)-Statistics100!D$6)*5)/Statistics100!D$13))</f>
        <v>97.751700832679731</v>
      </c>
      <c r="L64" s="11">
        <f>IF(RZS_100[[#This Row],[名前]]="","",(100+((VLOOKUP(RZS_100[[#This Row],[No用]],Q_Stat[],16,FALSE)-Statistics100!E$6)*5)/Statistics100!E$13))</f>
        <v>101.6862243754902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114.05186979575171</v>
      </c>
      <c r="O64" s="11">
        <f>IF(RZS_100[[#This Row],[名前]]="","",(100+((VLOOKUP(RZS_100[[#This Row],[No用]],Q_Stat[],19,FALSE)-Statistics100!H$6)*5)/Statistics100!H$13))</f>
        <v>97.302040999215677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96.627551249019589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98.36816995920303</v>
      </c>
      <c r="T64" s="11">
        <f>IF(RZS_100[[#This Row],[名前]]="","",(100+((VLOOKUP(RZS_100[[#This Row],[No用]],Q_Stat[],26,FALSE)-Statistics100!M$6)*5)/Statistics100!M$13))</f>
        <v>102.02346925058825</v>
      </c>
      <c r="U64" s="11">
        <f>IF(RZS_100[[#This Row],[名前]]="","",(100+((VLOOKUP(RZS_100[[#This Row],[No用]],Q_Stat[],27,FALSE)-Statistics100!N$6)*5)/Statistics100!N$13))</f>
        <v>96.627551249019589</v>
      </c>
      <c r="V64" s="11">
        <f>IF(RZS_100[[#This Row],[名前]]="","",(100+((VLOOKUP(RZS_100[[#This Row],[No用]],Q_Stat[],28,FALSE)-Statistics100!O$6)*5)/Statistics100!O$13))</f>
        <v>97.751700832679731</v>
      </c>
      <c r="W64" s="11">
        <f>IF(RZS_100[[#This Row],[名前]]="","",(100+((VLOOKUP(RZS_100[[#This Row],[No用]],Q_Stat[],29,FALSE)-Statistics100!P$6)*5)/Statistics100!P$13))</f>
        <v>96.14577285602239</v>
      </c>
      <c r="X64" s="11">
        <f>IF(RZS_100[[#This Row],[名前]]="","",(100+((VLOOKUP(RZS_100[[#This Row],[No用]],Q_Stat[],30,FALSE)-Statistics100!Q$6)*5)/Statistics100!Q$13))</f>
        <v>107.41938725215689</v>
      </c>
    </row>
    <row r="65" spans="1:24" x14ac:dyDescent="0.35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制服青根高伸ICONIC</v>
      </c>
      <c r="I65" s="11">
        <f>IF(RZS_100[[#This Row],[名前]]="","",(100+((VLOOKUP(RZS_100[[#This Row],[No用]],Q_Stat[],13,FALSE)-Statistics100!B$6)*5)/Statistics100!B$13))</f>
        <v>105.24603139041398</v>
      </c>
      <c r="J65" s="11">
        <f>IF(RZS_100[[#This Row],[名前]]="","",(100+((VLOOKUP(RZS_100[[#This Row],[No用]],Q_Stat[],14,FALSE)-Statistics100!C$6)*5)/Statistics100!C$13))</f>
        <v>95.66399446302519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117.42431854673211</v>
      </c>
      <c r="O65" s="11">
        <f>IF(RZS_100[[#This Row],[名前]]="","",(100+((VLOOKUP(RZS_100[[#This Row],[No用]],Q_Stat[],19,FALSE)-Statistics100!H$6)*5)/Statistics100!H$13))</f>
        <v>98.651020499607839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101.41425270202404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111.46632575333339</v>
      </c>
    </row>
    <row r="66" spans="1:24" x14ac:dyDescent="0.35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青根高伸</v>
      </c>
      <c r="D66" t="str">
        <f>IFERROR(Stat[[#This Row],[じゃんけん]],"")</f>
        <v>パー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プール掃除青根高伸ICONIC</v>
      </c>
      <c r="I66" s="11">
        <f>IF(RZS_100[[#This Row],[名前]]="","",(100+((VLOOKUP(RZS_100[[#This Row],[No用]],Q_Stat[],13,FALSE)-Statistics100!B$6)*5)/Statistics100!B$13))</f>
        <v>106.74489750196082</v>
      </c>
      <c r="J66" s="11">
        <f>IF(RZS_100[[#This Row],[名前]]="","",(100+((VLOOKUP(RZS_100[[#This Row],[No用]],Q_Stat[],14,FALSE)-Statistics100!C$6)*5)/Statistics100!C$13))</f>
        <v>95.66399446302519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115.17601937941184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101.41425270202404</v>
      </c>
      <c r="T66" s="11">
        <f>IF(RZS_100[[#This Row],[名前]]="","",(100+((VLOOKUP(RZS_100[[#This Row],[No用]],Q_Stat[],26,FALSE)-Statistics100!M$6)*5)/Statistics100!M$13))</f>
        <v>105.39591800156866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98.072886428011188</v>
      </c>
      <c r="X66" s="11">
        <f>IF(RZS_100[[#This Row],[名前]]="","",(100+((VLOOKUP(RZS_100[[#This Row],[No用]],Q_Stat[],30,FALSE)-Statistics100!Q$6)*5)/Statistics100!Q$13))</f>
        <v>110.11734625294123</v>
      </c>
    </row>
    <row r="67" spans="1:24" x14ac:dyDescent="0.35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100.4817783929972</v>
      </c>
      <c r="K67" s="11">
        <f>IF(RZS_100[[#This Row],[名前]]="","",(100+((VLOOKUP(RZS_100[[#This Row],[No用]],Q_Stat[],15,FALSE)-Statistics100!D$6)*5)/Statistics100!D$13))</f>
        <v>100</v>
      </c>
      <c r="L67" s="11">
        <f>IF(RZS_100[[#This Row],[名前]]="","",(100+((VLOOKUP(RZS_100[[#This Row],[No用]],Q_Stat[],16,FALSE)-Statistics100!E$6)*5)/Statistics100!E$13))</f>
        <v>110.11734625294123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110.6794210447713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103.37244875098041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103.37244875098041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103.85422714397761</v>
      </c>
      <c r="V67" s="11">
        <f>IF(RZS_100[[#This Row],[名前]]="","",(100+((VLOOKUP(RZS_100[[#This Row],[No用]],Q_Stat[],28,FALSE)-Statistics100!O$6)*5)/Statistics100!O$13))</f>
        <v>100</v>
      </c>
      <c r="W67" s="11">
        <f>IF(RZS_100[[#This Row],[名前]]="","",(100+((VLOOKUP(RZS_100[[#This Row],[No用]],Q_Stat[],29,FALSE)-Statistics100!P$6)*5)/Statistics100!P$13))</f>
        <v>100.9635567859944</v>
      </c>
      <c r="X67" s="11">
        <f>IF(RZS_100[[#This Row],[名前]]="","",(100+((VLOOKUP(RZS_100[[#This Row],[No用]],Q_Stat[],30,FALSE)-Statistics100!Q$6)*5)/Statistics100!Q$13))</f>
        <v>105.39591800156866</v>
      </c>
    </row>
    <row r="68" spans="1:24" x14ac:dyDescent="0.35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制服二口堅治ICONIC</v>
      </c>
      <c r="I68" s="11">
        <f>IF(RZS_100[[#This Row],[名前]]="","",(100+((VLOOKUP(RZS_100[[#This Row],[No用]],Q_Stat[],13,FALSE)-Statistics100!B$6)*5)/Statistics100!B$13))</f>
        <v>104.49659833464055</v>
      </c>
      <c r="J68" s="11">
        <f>IF(RZS_100[[#This Row],[名前]]="","",(100+((VLOOKUP(RZS_100[[#This Row],[No用]],Q_Stat[],14,FALSE)-Statistics100!C$6)*5)/Statistics100!C$13))</f>
        <v>103.37244875098041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111.80357062843143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111.80357062843143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105.05867312647061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106.41853149380142</v>
      </c>
      <c r="T68" s="11">
        <f>IF(RZS_100[[#This Row],[名前]]="","",(100+((VLOOKUP(RZS_100[[#This Row],[No用]],Q_Stat[],26,FALSE)-Statistics100!M$6)*5)/Statistics100!M$13))</f>
        <v>106.07040775176473</v>
      </c>
      <c r="U68" s="11">
        <f>IF(RZS_100[[#This Row],[名前]]="","",(100+((VLOOKUP(RZS_100[[#This Row],[No用]],Q_Stat[],27,FALSE)-Statistics100!N$6)*5)/Statistics100!N$13))</f>
        <v>105.78134071596642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102.89067035798321</v>
      </c>
      <c r="X68" s="11">
        <f>IF(RZS_100[[#This Row],[名前]]="","",(100+((VLOOKUP(RZS_100[[#This Row],[No用]],Q_Stat[],30,FALSE)-Statistics100!Q$6)*5)/Statistics100!Q$13))</f>
        <v>108.09387700235298</v>
      </c>
    </row>
    <row r="69" spans="1:24" x14ac:dyDescent="0.35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二口堅治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プール掃除二口堅治ICONIC</v>
      </c>
      <c r="I69" s="11">
        <f>IF(RZS_100[[#This Row],[名前]]="","",(100+((VLOOKUP(RZS_100[[#This Row],[No用]],Q_Stat[],13,FALSE)-Statistics100!B$6)*5)/Statistics100!B$13))</f>
        <v>102.24829916732027</v>
      </c>
      <c r="J69" s="11">
        <f>IF(RZS_100[[#This Row],[名前]]="","",(100+((VLOOKUP(RZS_100[[#This Row],[No用]],Q_Stat[],14,FALSE)-Statistics100!C$6)*5)/Statistics100!C$13))</f>
        <v>100.4817783929972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115.17601937941184</v>
      </c>
      <c r="O69" s="11">
        <f>IF(RZS_100[[#This Row],[名前]]="","",(100+((VLOOKUP(RZS_100[[#This Row],[No用]],Q_Stat[],19,FALSE)-Statistics100!H$6)*5)/Statistics100!H$13))</f>
        <v>104.0469385011765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108.43112187745102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106.41853149380142</v>
      </c>
      <c r="T69" s="11">
        <f>IF(RZS_100[[#This Row],[名前]]="","",(100+((VLOOKUP(RZS_100[[#This Row],[No用]],Q_Stat[],26,FALSE)-Statistics100!M$6)*5)/Statistics100!M$13))</f>
        <v>104.0469385011765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107.70845428795522</v>
      </c>
      <c r="X69" s="11">
        <f>IF(RZS_100[[#This Row],[名前]]="","",(100+((VLOOKUP(RZS_100[[#This Row],[No用]],Q_Stat[],30,FALSE)-Statistics100!Q$6)*5)/Statistics100!Q$13))</f>
        <v>110.11734625294123</v>
      </c>
    </row>
    <row r="70" spans="1:24" x14ac:dyDescent="0.35">
      <c r="A70">
        <f>IFERROR(Stat[[#This Row],[No.]],"")</f>
        <v>69</v>
      </c>
      <c r="B70" t="str">
        <f>IFERROR(Stat[[#This Row],[服装]],"")</f>
        <v>路地裏</v>
      </c>
      <c r="C70" t="str">
        <f>IFERROR(Stat[[#This Row],[名前]],"")</f>
        <v>二口堅治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路地裏二口堅治ICONIC</v>
      </c>
      <c r="I70" s="11">
        <f>IF(RZS_100[[#This Row],[名前]]="","",(100+((VLOOKUP(RZS_100[[#This Row],[No用]],Q_Stat[],13,FALSE)-Statistics100!B$6)*5)/Statistics100!B$13))</f>
        <v>106.74489750196082</v>
      </c>
      <c r="J70" s="11">
        <f>IF(RZS_100[[#This Row],[名前]]="","",(100+((VLOOKUP(RZS_100[[#This Row],[No用]],Q_Stat[],14,FALSE)-Statistics100!C$6)*5)/Statistics100!C$13))</f>
        <v>101.4453351789916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114.05186979575171</v>
      </c>
      <c r="O70" s="11">
        <f>IF(RZS_100[[#This Row],[名前]]="","",(100+((VLOOKUP(RZS_100[[#This Row],[No用]],Q_Stat[],19,FALSE)-Statistics100!H$6)*5)/Statistics100!H$13))</f>
        <v>98.651020499607839</v>
      </c>
      <c r="P70" s="11">
        <f>IF(RZS_100[[#This Row],[名前]]="","",(100+((VLOOKUP(RZS_100[[#This Row],[No用]],Q_Stat[],20,FALSE)-Statistics100!I$6)*5)/Statistics100!I$13))</f>
        <v>108.99319666928109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102.02346925058825</v>
      </c>
      <c r="S70" s="11">
        <f>IF(RZS_100[[#This Row],[名前]]="","",(100+((VLOOKUP(RZS_100[[#This Row],[No用]],Q_Stat[],25,FALSE)-Statistics100!L$6)*5)/Statistics100!L$13))</f>
        <v>107.28884084889314</v>
      </c>
      <c r="T70" s="11">
        <f>IF(RZS_100[[#This Row],[名前]]="","",(100+((VLOOKUP(RZS_100[[#This Row],[No用]],Q_Stat[],26,FALSE)-Statistics100!M$6)*5)/Statistics100!M$13))</f>
        <v>108.09387700235298</v>
      </c>
      <c r="U70" s="11">
        <f>IF(RZS_100[[#This Row],[名前]]="","",(100+((VLOOKUP(RZS_100[[#This Row],[No用]],Q_Stat[],27,FALSE)-Statistics100!N$6)*5)/Statistics100!N$13))</f>
        <v>103.85422714397761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100.9635567859944</v>
      </c>
      <c r="X70" s="11">
        <f>IF(RZS_100[[#This Row],[名前]]="","",(100+((VLOOKUP(RZS_100[[#This Row],[No用]],Q_Stat[],30,FALSE)-Statistics100!Q$6)*5)/Statistics100!Q$13))</f>
        <v>110.79183600313731</v>
      </c>
    </row>
    <row r="71" spans="1:24" x14ac:dyDescent="0.35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ユニフォーム黄金川貫至ICONIC</v>
      </c>
      <c r="I71" s="11">
        <f>IF(RZS_100[[#This Row],[名前]]="","",(100+((VLOOKUP(RZS_100[[#This Row],[No用]],Q_Stat[],13,FALSE)-Statistics100!B$6)*5)/Statistics100!B$13))</f>
        <v>98.501133888453154</v>
      </c>
      <c r="J71" s="11">
        <f>IF(RZS_100[[#This Row],[名前]]="","",(100+((VLOOKUP(RZS_100[[#This Row],[No用]],Q_Stat[],14,FALSE)-Statistics100!C$6)*5)/Statistics100!C$13))</f>
        <v>99.518221607002801</v>
      </c>
      <c r="K71" s="11">
        <f>IF(RZS_100[[#This Row],[名前]]="","",(100+((VLOOKUP(RZS_100[[#This Row],[No用]],Q_Stat[],15,FALSE)-Statistics100!D$6)*5)/Statistics100!D$13))</f>
        <v>110.11734625294123</v>
      </c>
      <c r="L71" s="11">
        <f>IF(RZS_100[[#This Row],[名前]]="","",(100+((VLOOKUP(RZS_100[[#This Row],[No用]],Q_Stat[],16,FALSE)-Statistics100!E$6)*5)/Statistics100!E$13))</f>
        <v>100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110.6794210447713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99.673633991840603</v>
      </c>
      <c r="T71" s="11">
        <f>IF(RZS_100[[#This Row],[名前]]="","",(100+((VLOOKUP(RZS_100[[#This Row],[No用]],Q_Stat[],26,FALSE)-Statistics100!M$6)*5)/Statistics100!M$13))</f>
        <v>97.976530749411751</v>
      </c>
      <c r="U71" s="11">
        <f>IF(RZS_100[[#This Row],[名前]]="","",(100+((VLOOKUP(RZS_100[[#This Row],[No用]],Q_Stat[],27,FALSE)-Statistics100!N$6)*5)/Statistics100!N$13))</f>
        <v>98.554664821008402</v>
      </c>
      <c r="V71" s="11">
        <f>IF(RZS_100[[#This Row],[名前]]="","",(100+((VLOOKUP(RZS_100[[#This Row],[No用]],Q_Stat[],28,FALSE)-Statistics100!O$6)*5)/Statistics100!O$13))</f>
        <v>110.11734625294123</v>
      </c>
      <c r="W71" s="11">
        <f>IF(RZS_100[[#This Row],[名前]]="","",(100+((VLOOKUP(RZS_100[[#This Row],[No用]],Q_Stat[],29,FALSE)-Statistics100!P$6)*5)/Statistics100!P$13))</f>
        <v>98.072886428011188</v>
      </c>
      <c r="X71" s="11">
        <f>IF(RZS_100[[#This Row],[名前]]="","",(100+((VLOOKUP(RZS_100[[#This Row],[No用]],Q_Stat[],30,FALSE)-Statistics100!Q$6)*5)/Statistics100!Q$13))</f>
        <v>105.39591800156866</v>
      </c>
    </row>
    <row r="72" spans="1:24" x14ac:dyDescent="0.35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制服黄金川貫至ICONIC</v>
      </c>
      <c r="I72" s="11">
        <f>IF(RZS_100[[#This Row],[名前]]="","",(100+((VLOOKUP(RZS_100[[#This Row],[No用]],Q_Stat[],13,FALSE)-Statistics100!B$6)*5)/Statistics100!B$13))</f>
        <v>99.250566944226577</v>
      </c>
      <c r="J72" s="11">
        <f>IF(RZS_100[[#This Row],[名前]]="","",(100+((VLOOKUP(RZS_100[[#This Row],[No用]],Q_Stat[],14,FALSE)-Statistics100!C$6)*5)/Statistics100!C$13))</f>
        <v>102.40889196498601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105.05867312647061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111.80357062843143</v>
      </c>
      <c r="O72" s="11">
        <f>IF(RZS_100[[#This Row],[名前]]="","",(100+((VLOOKUP(RZS_100[[#This Row],[No用]],Q_Stat[],19,FALSE)-Statistics100!H$6)*5)/Statistics100!H$13))</f>
        <v>100</v>
      </c>
      <c r="P72" s="11">
        <f>IF(RZS_100[[#This Row],[名前]]="","",(100+((VLOOKUP(RZS_100[[#This Row],[No用]],Q_Stat[],20,FALSE)-Statistics100!I$6)*5)/Statistics100!I$13))</f>
        <v>100</v>
      </c>
      <c r="Q72" s="11">
        <f>IF(RZS_100[[#This Row],[名前]]="","",(100+((VLOOKUP(RZS_100[[#This Row],[No用]],Q_Stat[],21,FALSE)-Statistics100!J$6)*5)/Statistics100!J$13))</f>
        <v>100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102.71971673466162</v>
      </c>
      <c r="T72" s="11">
        <f>IF(RZS_100[[#This Row],[名前]]="","",(100+((VLOOKUP(RZS_100[[#This Row],[No用]],Q_Stat[],26,FALSE)-Statistics100!M$6)*5)/Statistics100!M$13))</f>
        <v>98.651020499607839</v>
      </c>
      <c r="U72" s="11">
        <f>IF(RZS_100[[#This Row],[名前]]="","",(100+((VLOOKUP(RZS_100[[#This Row],[No用]],Q_Stat[],27,FALSE)-Statistics100!N$6)*5)/Statistics100!N$13))</f>
        <v>101.4453351789916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100</v>
      </c>
      <c r="X72" s="11">
        <f>IF(RZS_100[[#This Row],[名前]]="","",(100+((VLOOKUP(RZS_100[[#This Row],[No用]],Q_Stat[],30,FALSE)-Statistics100!Q$6)*5)/Statistics100!Q$13))</f>
        <v>106.74489750196082</v>
      </c>
    </row>
    <row r="73" spans="1:24" x14ac:dyDescent="0.35">
      <c r="A73">
        <f>IFERROR(Stat[[#This Row],[No.]],"")</f>
        <v>72</v>
      </c>
      <c r="B73" t="str">
        <f>IFERROR(Stat[[#This Row],[服装]],"")</f>
        <v>職業体験</v>
      </c>
      <c r="C73" t="str">
        <f>IFERROR(Stat[[#This Row],[名前]],"")</f>
        <v>黄金川貫至</v>
      </c>
      <c r="D73" t="str">
        <f>IFERROR(Stat[[#This Row],[じゃんけん]],"")</f>
        <v>パー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職業体験黄金川貫至ICONIC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104.33600553697481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108.43112187745102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109.55527146111116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98.313775624509802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102.71971673466162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103.37244875098041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97.109329642016789</v>
      </c>
      <c r="X73" s="11">
        <f>IF(RZS_100[[#This Row],[名前]]="","",(100+((VLOOKUP(RZS_100[[#This Row],[No用]],Q_Stat[],30,FALSE)-Statistics100!Q$6)*5)/Statistics100!Q$13))</f>
        <v>104.72142825137257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小原豊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ユニフォーム小原豊ICONIC</v>
      </c>
      <c r="I74" s="11">
        <f>IF(RZS_100[[#This Row],[名前]]="","",(100+((VLOOKUP(RZS_100[[#This Row],[No用]],Q_Stat[],13,FALSE)-Statistics100!B$6)*5)/Statistics100!B$13))</f>
        <v>100</v>
      </c>
      <c r="J74" s="11">
        <f>IF(RZS_100[[#This Row],[名前]]="","",(100+((VLOOKUP(RZS_100[[#This Row],[No用]],Q_Stat[],14,FALSE)-Statistics100!C$6)*5)/Statistics100!C$13))</f>
        <v>98.554664821008402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96.627551249019589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98.313775624509802</v>
      </c>
      <c r="O74" s="11">
        <f>IF(RZS_100[[#This Row],[名前]]="","",(100+((VLOOKUP(RZS_100[[#This Row],[No用]],Q_Stat[],19,FALSE)-Statistics100!H$6)*5)/Statistics100!H$13))</f>
        <v>95.953061498823502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103.37244875098041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95.322087216382016</v>
      </c>
      <c r="T74" s="11">
        <f>IF(RZS_100[[#This Row],[名前]]="","",(100+((VLOOKUP(RZS_100[[#This Row],[No用]],Q_Stat[],26,FALSE)-Statistics100!M$6)*5)/Statistics100!M$13))</f>
        <v>99.325510249803912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99.036443214005601</v>
      </c>
      <c r="X74" s="11">
        <f>IF(RZS_100[[#This Row],[名前]]="","",(100+((VLOOKUP(RZS_100[[#This Row],[No用]],Q_Stat[],30,FALSE)-Statistics100!Q$6)*5)/Statistics100!Q$13))</f>
        <v>97.976530749411751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女川太郎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ユニフォーム女川太郎ICONIC</v>
      </c>
      <c r="I75" s="11">
        <f>IF(RZS_100[[#This Row],[名前]]="","",(100+((VLOOKUP(RZS_100[[#This Row],[No用]],Q_Stat[],13,FALSE)-Statistics100!B$6)*5)/Statistics100!B$13))</f>
        <v>100.74943305577342</v>
      </c>
      <c r="J75" s="11">
        <f>IF(RZS_100[[#This Row],[名前]]="","",(100+((VLOOKUP(RZS_100[[#This Row],[No用]],Q_Stat[],14,FALSE)-Statistics100!C$6)*5)/Statistics100!C$13))</f>
        <v>99.518221607002801</v>
      </c>
      <c r="K75" s="11">
        <f>IF(RZS_100[[#This Row],[名前]]="","",(100+((VLOOKUP(RZS_100[[#This Row],[No用]],Q_Stat[],15,FALSE)-Statistics100!D$6)*5)/Statistics100!D$13))</f>
        <v>98.875850416339858</v>
      </c>
      <c r="L75" s="11">
        <f>IF(RZS_100[[#This Row],[名前]]="","",(100+((VLOOKUP(RZS_100[[#This Row],[No用]],Q_Stat[],16,FALSE)-Statistics100!E$6)*5)/Statistics100!E$13))</f>
        <v>98.313775624509802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103.93452354281048</v>
      </c>
      <c r="O75" s="11">
        <f>IF(RZS_100[[#This Row],[名前]]="","",(100+((VLOOKUP(RZS_100[[#This Row],[No用]],Q_Stat[],19,FALSE)-Statistics100!H$6)*5)/Statistics100!H$13))</f>
        <v>97.302040999215677</v>
      </c>
      <c r="P75" s="11">
        <f>IF(RZS_100[[#This Row],[名前]]="","",(100+((VLOOKUP(RZS_100[[#This Row],[No用]],Q_Stat[],20,FALSE)-Statistics100!I$6)*5)/Statistics100!I$13))</f>
        <v>100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97.933015281657163</v>
      </c>
      <c r="T75" s="11">
        <f>IF(RZS_100[[#This Row],[名前]]="","",(100+((VLOOKUP(RZS_100[[#This Row],[No用]],Q_Stat[],26,FALSE)-Statistics100!M$6)*5)/Statistics100!M$13))</f>
        <v>100</v>
      </c>
      <c r="U75" s="11">
        <f>IF(RZS_100[[#This Row],[名前]]="","",(100+((VLOOKUP(RZS_100[[#This Row],[No用]],Q_Stat[],27,FALSE)-Statistics100!N$6)*5)/Statistics100!N$13))</f>
        <v>98.072886428011188</v>
      </c>
      <c r="V75" s="11">
        <f>IF(RZS_100[[#This Row],[名前]]="","",(100+((VLOOKUP(RZS_100[[#This Row],[No用]],Q_Stat[],28,FALSE)-Statistics100!O$6)*5)/Statistics100!O$13))</f>
        <v>98.875850416339858</v>
      </c>
      <c r="W75" s="11">
        <f>IF(RZS_100[[#This Row],[名前]]="","",(100+((VLOOKUP(RZS_100[[#This Row],[No用]],Q_Stat[],29,FALSE)-Statistics100!P$6)*5)/Statistics100!P$13))</f>
        <v>100.9635567859944</v>
      </c>
      <c r="X75" s="11">
        <f>IF(RZS_100[[#This Row],[名前]]="","",(100+((VLOOKUP(RZS_100[[#This Row],[No用]],Q_Stat[],30,FALSE)-Statistics100!Q$6)*5)/Statistics100!Q$13))</f>
        <v>102.02346925058825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作並浩輔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ユニフォーム作並浩輔ICONIC</v>
      </c>
      <c r="I76" s="11">
        <f>IF(RZS_100[[#This Row],[名前]]="","",(100+((VLOOKUP(RZS_100[[#This Row],[No用]],Q_Stat[],13,FALSE)-Statistics100!B$6)*5)/Statistics100!B$13))</f>
        <v>94.004535553812602</v>
      </c>
      <c r="J76" s="11">
        <f>IF(RZS_100[[#This Row],[名前]]="","",(100+((VLOOKUP(RZS_100[[#This Row],[No用]],Q_Stat[],14,FALSE)-Statistics100!C$6)*5)/Statistics100!C$13))</f>
        <v>91.80976731904758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100</v>
      </c>
      <c r="M76" s="11">
        <f>IF(RZS_100[[#This Row],[名前]]="","",(100+((VLOOKUP(RZS_100[[#This Row],[No用]],Q_Stat[],17,FALSE)-Statistics100!F$6)*5)/Statistics100!F$13))</f>
        <v>100</v>
      </c>
      <c r="N76" s="11">
        <f>IF(RZS_100[[#This Row],[名前]]="","",(100+((VLOOKUP(RZS_100[[#This Row],[No用]],Q_Stat[],18,FALSE)-Statistics100!G$6)*5)/Statistics100!G$13))</f>
        <v>91.568878122548981</v>
      </c>
      <c r="O76" s="11">
        <f>IF(RZS_100[[#This Row],[名前]]="","",(100+((VLOOKUP(RZS_100[[#This Row],[No用]],Q_Stat[],19,FALSE)-Statistics100!H$6)*5)/Statistics100!H$13))</f>
        <v>109.44285650274514</v>
      </c>
      <c r="P76" s="11">
        <f>IF(RZS_100[[#This Row],[名前]]="","",(100+((VLOOKUP(RZS_100[[#This Row],[No用]],Q_Stat[],20,FALSE)-Statistics100!I$6)*5)/Statistics100!I$13))</f>
        <v>104.49659833464055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96.192396571473736</v>
      </c>
      <c r="T76" s="11">
        <f>IF(RZS_100[[#This Row],[名前]]="","",(100+((VLOOKUP(RZS_100[[#This Row],[No用]],Q_Stat[],26,FALSE)-Statistics100!M$6)*5)/Statistics100!M$13))</f>
        <v>96.627551249019589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109.63556785994403</v>
      </c>
      <c r="X76" s="11">
        <f>IF(RZS_100[[#This Row],[名前]]="","",(100+((VLOOKUP(RZS_100[[#This Row],[No用]],Q_Stat[],30,FALSE)-Statistics100!Q$6)*5)/Statistics100!Q$13))</f>
        <v>95.953061498823502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吹上仁悟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ユニフォーム吹上仁悟ICONIC</v>
      </c>
      <c r="I77" s="11">
        <f>IF(RZS_100[[#This Row],[名前]]="","",(100+((VLOOKUP(RZS_100[[#This Row],[No用]],Q_Stat[],13,FALSE)-Statistics100!B$6)*5)/Statistics100!B$13))</f>
        <v>102.99773222309369</v>
      </c>
      <c r="J77" s="11">
        <f>IF(RZS_100[[#This Row],[名前]]="","",(100+((VLOOKUP(RZS_100[[#This Row],[No用]],Q_Stat[],14,FALSE)-Statistics100!C$6)*5)/Statistics100!C$13))</f>
        <v>94.700437677030777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101.6862243754902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108.43112187745102</v>
      </c>
      <c r="O77" s="11">
        <f>IF(RZS_100[[#This Row],[名前]]="","",(100+((VLOOKUP(RZS_100[[#This Row],[No用]],Q_Stat[],19,FALSE)-Statistics100!H$6)*5)/Statistics100!H$13))</f>
        <v>97.302040999215677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97.280283265338383</v>
      </c>
      <c r="T77" s="11">
        <f>IF(RZS_100[[#This Row],[名前]]="","",(100+((VLOOKUP(RZS_100[[#This Row],[No用]],Q_Stat[],26,FALSE)-Statistics100!M$6)*5)/Statistics100!M$13))</f>
        <v>102.02346925058825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104.0469385011765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茂庭要</v>
      </c>
      <c r="D78" t="str">
        <f>IFERROR(Stat[[#This Row],[じゃんけん]],"")</f>
        <v>グー</v>
      </c>
      <c r="E78" t="str">
        <f>IFERROR(Stat[[#This Row],[ポジション]],"")</f>
        <v>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ユニフォーム茂庭要ICONIC</v>
      </c>
      <c r="I78" s="11">
        <f>IF(RZS_100[[#This Row],[名前]]="","",(100+((VLOOKUP(RZS_100[[#This Row],[No用]],Q_Stat[],13,FALSE)-Statistics100!B$6)*5)/Statistics100!B$13))</f>
        <v>95.503401665359448</v>
      </c>
      <c r="J78" s="11">
        <f>IF(RZS_100[[#This Row],[名前]]="","",(100+((VLOOKUP(RZS_100[[#This Row],[No用]],Q_Stat[],14,FALSE)-Statistics100!C$6)*5)/Statistics100!C$13))</f>
        <v>97.591108035013988</v>
      </c>
      <c r="K78" s="11">
        <f>IF(RZS_100[[#This Row],[名前]]="","",(100+((VLOOKUP(RZS_100[[#This Row],[No用]],Q_Stat[],15,FALSE)-Statistics100!D$6)*5)/Statistics100!D$13))</f>
        <v>107.86904708562096</v>
      </c>
      <c r="L78" s="11">
        <f>IF(RZS_100[[#This Row],[名前]]="","",(100+((VLOOKUP(RZS_100[[#This Row],[No用]],Q_Stat[],16,FALSE)-Statistics100!E$6)*5)/Statistics100!E$13))</f>
        <v>98.313775624509802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100.56207479183007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101.6862243754902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97.933015281657163</v>
      </c>
      <c r="T78" s="11">
        <f>IF(RZS_100[[#This Row],[名前]]="","",(100+((VLOOKUP(RZS_100[[#This Row],[No用]],Q_Stat[],26,FALSE)-Statistics100!M$6)*5)/Statistics100!M$13))</f>
        <v>95.278571748627428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107.86904708562096</v>
      </c>
      <c r="W78" s="11">
        <f>IF(RZS_100[[#This Row],[名前]]="","",(100+((VLOOKUP(RZS_100[[#This Row],[No用]],Q_Stat[],29,FALSE)-Statistics100!P$6)*5)/Statistics100!P$13))</f>
        <v>100.9635567859944</v>
      </c>
      <c r="X78" s="11">
        <f>IF(RZS_100[[#This Row],[名前]]="","",(100+((VLOOKUP(RZS_100[[#This Row],[No用]],Q_Stat[],30,FALSE)-Statistics100!Q$6)*5)/Statistics100!Q$13))</f>
        <v>99.325510249803912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鎌先靖志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ユニフォーム鎌先靖志ICONIC</v>
      </c>
      <c r="I79" s="11">
        <f>IF(RZS_100[[#This Row],[名前]]="","",(100+((VLOOKUP(RZS_100[[#This Row],[No用]],Q_Stat[],13,FALSE)-Statistics100!B$6)*5)/Statistics100!B$13))</f>
        <v>100</v>
      </c>
      <c r="J79" s="11">
        <f>IF(RZS_100[[#This Row],[名前]]="","",(100+((VLOOKUP(RZS_100[[#This Row],[No用]],Q_Stat[],14,FALSE)-Statistics100!C$6)*5)/Statistics100!C$13))</f>
        <v>100.4817783929972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100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106.18282271013075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96.845128587792516</v>
      </c>
      <c r="T79" s="11">
        <f>IF(RZS_100[[#This Row],[名前]]="","",(100+((VLOOKUP(RZS_100[[#This Row],[No用]],Q_Stat[],26,FALSE)-Statistics100!M$6)*5)/Statistics100!M$13))</f>
        <v>99.325510249803912</v>
      </c>
      <c r="U79" s="11">
        <f>IF(RZS_100[[#This Row],[名前]]="","",(100+((VLOOKUP(RZS_100[[#This Row],[No用]],Q_Stat[],27,FALSE)-Statistics100!N$6)*5)/Statistics100!N$13))</f>
        <v>99.036443214005601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96.14577285602239</v>
      </c>
      <c r="X79" s="11">
        <f>IF(RZS_100[[#This Row],[名前]]="","",(100+((VLOOKUP(RZS_100[[#This Row],[No用]],Q_Stat[],30,FALSE)-Statistics100!Q$6)*5)/Statistics100!Q$13))</f>
        <v>102.02346925058825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笹谷武仁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ユニフォーム笹谷武仁ICONIC</v>
      </c>
      <c r="I80" s="11">
        <f>IF(RZS_100[[#This Row],[名前]]="","",(100+((VLOOKUP(RZS_100[[#This Row],[No用]],Q_Stat[],13,FALSE)-Statistics100!B$6)*5)/Statistics100!B$13))</f>
        <v>99.250566944226577</v>
      </c>
      <c r="J80" s="11">
        <f>IF(RZS_100[[#This Row],[名前]]="","",(100+((VLOOKUP(RZS_100[[#This Row],[No用]],Q_Stat[],14,FALSE)-Statistics100!C$6)*5)/Statistics100!C$13))</f>
        <v>98.554664821008402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96.627551249019589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101.6862243754902</v>
      </c>
      <c r="O80" s="11">
        <f>IF(RZS_100[[#This Row],[名前]]="","",(100+((VLOOKUP(RZS_100[[#This Row],[No用]],Q_Stat[],19,FALSE)-Statistics100!H$6)*5)/Statistics100!H$13))</f>
        <v>95.953061498823502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103.37244875098041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95.757241893927869</v>
      </c>
      <c r="T80" s="11">
        <f>IF(RZS_100[[#This Row],[名前]]="","",(100+((VLOOKUP(RZS_100[[#This Row],[No用]],Q_Stat[],26,FALSE)-Statistics100!M$6)*5)/Statistics100!M$13))</f>
        <v>98.651020499607839</v>
      </c>
      <c r="U80" s="11">
        <f>IF(RZS_100[[#This Row],[名前]]="","",(100+((VLOOKUP(RZS_100[[#This Row],[No用]],Q_Stat[],27,FALSE)-Statistics100!N$6)*5)/Statistics100!N$13))</f>
        <v>97.109329642016789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99.036443214005601</v>
      </c>
      <c r="X80" s="11">
        <f>IF(RZS_100[[#This Row],[名前]]="","",(100+((VLOOKUP(RZS_100[[#This Row],[No用]],Q_Stat[],30,FALSE)-Statistics100!Q$6)*5)/Statistics100!Q$13))</f>
        <v>100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及川徹</v>
      </c>
      <c r="D81" t="str">
        <f>IFERROR(Stat[[#This Row],[じゃんけん]],"")</f>
        <v>グー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ユニフォーム及川徹ICONIC</v>
      </c>
      <c r="I81" s="11">
        <f>IF(RZS_100[[#This Row],[名前]]="","",(100+((VLOOKUP(RZS_100[[#This Row],[No用]],Q_Stat[],13,FALSE)-Statistics100!B$6)*5)/Statistics100!B$13))</f>
        <v>104.49659833464055</v>
      </c>
      <c r="J81" s="11">
        <f>IF(RZS_100[[#This Row],[名前]]="","",(100+((VLOOKUP(RZS_100[[#This Row],[No用]],Q_Stat[],14,FALSE)-Statistics100!C$6)*5)/Statistics100!C$13))</f>
        <v>108.19023268095242</v>
      </c>
      <c r="K81" s="11">
        <f>IF(RZS_100[[#This Row],[名前]]="","",(100+((VLOOKUP(RZS_100[[#This Row],[No用]],Q_Stat[],15,FALSE)-Statistics100!D$6)*5)/Statistics100!D$13))</f>
        <v>116.86224375490205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96.065476457189519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95.503401665359448</v>
      </c>
      <c r="Q81" s="11">
        <f>IF(RZS_100[[#This Row],[名前]]="","",(100+((VLOOKUP(RZS_100[[#This Row],[No用]],Q_Stat[],21,FALSE)-Statistics100!J$6)*5)/Statistics100!J$13))</f>
        <v>96.627551249019589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104.89549012239092</v>
      </c>
      <c r="T81" s="11">
        <f>IF(RZS_100[[#This Row],[名前]]="","",(100+((VLOOKUP(RZS_100[[#This Row],[No用]],Q_Stat[],26,FALSE)-Statistics100!M$6)*5)/Statistics100!M$13))</f>
        <v>106.07040775176473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116.86224375490205</v>
      </c>
      <c r="W81" s="11">
        <f>IF(RZS_100[[#This Row],[名前]]="","",(100+((VLOOKUP(RZS_100[[#This Row],[No用]],Q_Stat[],29,FALSE)-Statistics100!P$6)*5)/Statistics100!P$13))</f>
        <v>96.14577285602239</v>
      </c>
      <c r="X81" s="11">
        <f>IF(RZS_100[[#This Row],[名前]]="","",(100+((VLOOKUP(RZS_100[[#This Row],[No用]],Q_Stat[],30,FALSE)-Statistics100!Q$6)*5)/Statistics100!Q$13))</f>
        <v>95.953061498823502</v>
      </c>
    </row>
    <row r="82" spans="1:24" x14ac:dyDescent="0.35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及川徹</v>
      </c>
      <c r="D82" t="str">
        <f>IFERROR(Stat[[#This Row],[じゃんけん]],"")</f>
        <v>パー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プール掃除及川徹ICONIC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111.08090303893563</v>
      </c>
      <c r="K82" s="11">
        <f>IF(RZS_100[[#This Row],[名前]]="","",(100+((VLOOKUP(RZS_100[[#This Row],[No用]],Q_Stat[],15,FALSE)-Statistics100!D$6)*5)/Statistics100!D$13))</f>
        <v>120.23469250588246</v>
      </c>
      <c r="L82" s="11">
        <f>IF(RZS_100[[#This Row],[名前]]="","",(100+((VLOOKUP(RZS_100[[#This Row],[No用]],Q_Stat[],16,FALSE)-Statistics100!E$6)*5)/Statistics100!E$13))</f>
        <v>115.17601937941184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97.18962604084966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107.94157286521194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110.59912464593843</v>
      </c>
      <c r="V82" s="11">
        <f>IF(RZS_100[[#This Row],[名前]]="","",(100+((VLOOKUP(RZS_100[[#This Row],[No用]],Q_Stat[],28,FALSE)-Statistics100!O$6)*5)/Statistics100!O$13))</f>
        <v>120.23469250588246</v>
      </c>
      <c r="W82" s="11">
        <f>IF(RZS_100[[#This Row],[名前]]="","",(100+((VLOOKUP(RZS_100[[#This Row],[No用]],Q_Stat[],29,FALSE)-Statistics100!P$6)*5)/Statistics100!P$13))</f>
        <v>98.072886428011188</v>
      </c>
      <c r="X82" s="11">
        <f>IF(RZS_100[[#This Row],[名前]]="","",(100+((VLOOKUP(RZS_100[[#This Row],[No用]],Q_Stat[],30,FALSE)-Statistics100!Q$6)*5)/Statistics100!Q$13))</f>
        <v>97.302040999215677</v>
      </c>
    </row>
    <row r="83" spans="1:24" x14ac:dyDescent="0.35">
      <c r="A83">
        <f>IFERROR(Stat[[#This Row],[No.]],"")</f>
        <v>82</v>
      </c>
      <c r="B83" t="str">
        <f>IFERROR(Stat[[#This Row],[服装]],"")</f>
        <v>Xmas</v>
      </c>
      <c r="C83" t="str">
        <f>IFERROR(Stat[[#This Row],[名前]],"")</f>
        <v>及川徹</v>
      </c>
      <c r="D83" t="str">
        <f>IFERROR(Stat[[#This Row],[じゃんけん]],"")</f>
        <v>チョキ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Xmas及川徹ICONIC</v>
      </c>
      <c r="I83" s="11">
        <f>IF(RZS_100[[#This Row],[名前]]="","",(100+((VLOOKUP(RZS_100[[#This Row],[No用]],Q_Stat[],13,FALSE)-Statistics100!B$6)*5)/Statistics100!B$13))</f>
        <v>106.74489750196082</v>
      </c>
      <c r="J83" s="11">
        <f>IF(RZS_100[[#This Row],[名前]]="","",(100+((VLOOKUP(RZS_100[[#This Row],[No用]],Q_Stat[],14,FALSE)-Statistics100!C$6)*5)/Statistics100!C$13))</f>
        <v>108.19023268095242</v>
      </c>
      <c r="K83" s="11">
        <f>IF(RZS_100[[#This Row],[名前]]="","",(100+((VLOOKUP(RZS_100[[#This Row],[No用]],Q_Stat[],15,FALSE)-Statistics100!D$6)*5)/Statistics100!D$13))</f>
        <v>123.60714125686286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100.56207479183007</v>
      </c>
      <c r="O83" s="11">
        <f>IF(RZS_100[[#This Row],[名前]]="","",(100+((VLOOKUP(RZS_100[[#This Row],[No用]],Q_Stat[],19,FALSE)-Statistics100!H$6)*5)/Statistics100!H$13))</f>
        <v>95.953061498823502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94.941326873529391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108.15915020398486</v>
      </c>
      <c r="T83" s="11">
        <f>IF(RZS_100[[#This Row],[名前]]="","",(100+((VLOOKUP(RZS_100[[#This Row],[No用]],Q_Stat[],26,FALSE)-Statistics100!M$6)*5)/Statistics100!M$13))</f>
        <v>108.09387700235298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123.60714125686286</v>
      </c>
      <c r="W83" s="11">
        <f>IF(RZS_100[[#This Row],[名前]]="","",(100+((VLOOKUP(RZS_100[[#This Row],[No用]],Q_Stat[],29,FALSE)-Statistics100!P$6)*5)/Statistics100!P$13))</f>
        <v>94.218659284033578</v>
      </c>
      <c r="X83" s="11">
        <f>IF(RZS_100[[#This Row],[名前]]="","",(100+((VLOOKUP(RZS_100[[#This Row],[No用]],Q_Stat[],30,FALSE)-Statistics100!Q$6)*5)/Statistics100!Q$13))</f>
        <v>101.34897950039216</v>
      </c>
    </row>
    <row r="84" spans="1:24" x14ac:dyDescent="0.35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及川徹</v>
      </c>
      <c r="D84" t="str">
        <f>IFERROR(Stat[[#This Row],[じゃんけん]],"")</f>
        <v>グー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制服及川徹ICONIC</v>
      </c>
      <c r="I84" s="11">
        <f>IF(RZS_100[[#This Row],[名前]]="","",(100+((VLOOKUP(RZS_100[[#This Row],[No用]],Q_Stat[],13,FALSE)-Statistics100!B$6)*5)/Statistics100!B$13))</f>
        <v>107.49433055773424</v>
      </c>
      <c r="J84" s="11">
        <f>IF(RZS_100[[#This Row],[名前]]="","",(100+((VLOOKUP(RZS_100[[#This Row],[No用]],Q_Stat[],14,FALSE)-Statistics100!C$6)*5)/Statistics100!C$13))</f>
        <v>108.19023268095242</v>
      </c>
      <c r="K84" s="11">
        <f>IF(RZS_100[[#This Row],[名前]]="","",(100+((VLOOKUP(RZS_100[[#This Row],[No用]],Q_Stat[],15,FALSE)-Statistics100!D$6)*5)/Statistics100!D$13))</f>
        <v>119.11054292222232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99.437925208169929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102.24829916732027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107.94157286521194</v>
      </c>
      <c r="T84" s="11">
        <f>IF(RZS_100[[#This Row],[名前]]="","",(100+((VLOOKUP(RZS_100[[#This Row],[No用]],Q_Stat[],26,FALSE)-Statistics100!M$6)*5)/Statistics100!M$13))</f>
        <v>108.76836675254907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119.11054292222232</v>
      </c>
      <c r="W84" s="11">
        <f>IF(RZS_100[[#This Row],[名前]]="","",(100+((VLOOKUP(RZS_100[[#This Row],[No用]],Q_Stat[],29,FALSE)-Statistics100!P$6)*5)/Statistics100!P$13))</f>
        <v>98.072886428011188</v>
      </c>
      <c r="X84" s="11">
        <f>IF(RZS_100[[#This Row],[名前]]="","",(100+((VLOOKUP(RZS_100[[#This Row],[No用]],Q_Stat[],30,FALSE)-Statistics100!Q$6)*5)/Statistics100!Q$13))</f>
        <v>100</v>
      </c>
    </row>
    <row r="85" spans="1:24" x14ac:dyDescent="0.35">
      <c r="A85">
        <f>IFERROR(Stat[[#This Row],[No.]],"")</f>
        <v>84</v>
      </c>
      <c r="B85" t="str">
        <f>IFERROR(Stat[[#This Row],[服装]],"")</f>
        <v>路地裏</v>
      </c>
      <c r="C85" t="str">
        <f>IFERROR(Stat[[#This Row],[名前]],"")</f>
        <v>及川徹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路地裏及川徹ICONIC</v>
      </c>
      <c r="I85" s="11">
        <f>IF(RZS_100[[#This Row],[名前]]="","",(100+((VLOOKUP(RZS_100[[#This Row],[No用]],Q_Stat[],13,FALSE)-Statistics100!B$6)*5)/Statistics100!B$13))</f>
        <v>105.9954644461874</v>
      </c>
      <c r="J85" s="11">
        <f>IF(RZS_100[[#This Row],[名前]]="","",(100+((VLOOKUP(RZS_100[[#This Row],[No用]],Q_Stat[],14,FALSE)-Statistics100!C$6)*5)/Statistics100!C$13))</f>
        <v>113.97157339691884</v>
      </c>
      <c r="K85" s="11">
        <f>IF(RZS_100[[#This Row],[名前]]="","",(100+((VLOOKUP(RZS_100[[#This Row],[No用]],Q_Stat[],15,FALSE)-Statistics100!D$6)*5)/Statistics100!D$13))</f>
        <v>122.48299167320273</v>
      </c>
      <c r="L85" s="11">
        <f>IF(RZS_100[[#This Row],[名前]]="","",(100+((VLOOKUP(RZS_100[[#This Row],[No用]],Q_Stat[],16,FALSE)-Statistics100!E$6)*5)/Statistics100!E$13))</f>
        <v>118.54846813039225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97.18962604084966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110.11734625294123</v>
      </c>
      <c r="T85" s="11">
        <f>IF(RZS_100[[#This Row],[名前]]="","",(100+((VLOOKUP(RZS_100[[#This Row],[No用]],Q_Stat[],26,FALSE)-Statistics100!M$6)*5)/Statistics100!M$13))</f>
        <v>107.41938725215689</v>
      </c>
      <c r="U85" s="11">
        <f>IF(RZS_100[[#This Row],[名前]]="","",(100+((VLOOKUP(RZS_100[[#This Row],[No用]],Q_Stat[],27,FALSE)-Statistics100!N$6)*5)/Statistics100!N$13))</f>
        <v>113.00801661092444</v>
      </c>
      <c r="V85" s="11">
        <f>IF(RZS_100[[#This Row],[名前]]="","",(100+((VLOOKUP(RZS_100[[#This Row],[No用]],Q_Stat[],28,FALSE)-Statistics100!O$6)*5)/Statistics100!O$13))</f>
        <v>122.48299167320273</v>
      </c>
      <c r="W85" s="11">
        <f>IF(RZS_100[[#This Row],[名前]]="","",(100+((VLOOKUP(RZS_100[[#This Row],[No用]],Q_Stat[],29,FALSE)-Statistics100!P$6)*5)/Statistics100!P$13))</f>
        <v>100</v>
      </c>
      <c r="X85" s="11">
        <f>IF(RZS_100[[#This Row],[名前]]="","",(100+((VLOOKUP(RZS_100[[#This Row],[No用]],Q_Stat[],30,FALSE)-Statistics100!Q$6)*5)/Statistics100!Q$13))</f>
        <v>97.302040999215677</v>
      </c>
    </row>
    <row r="86" spans="1:24" x14ac:dyDescent="0.35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岩泉一</v>
      </c>
      <c r="D86" t="str">
        <f>IFERROR(Stat[[#This Row],[じゃんけん]],"")</f>
        <v>チョキ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ユニフォーム岩泉一ICONIC</v>
      </c>
      <c r="I86" s="11">
        <f>IF(RZS_100[[#This Row],[名前]]="","",(100+((VLOOKUP(RZS_100[[#This Row],[No用]],Q_Stat[],13,FALSE)-Statistics100!B$6)*5)/Statistics100!B$13))</f>
        <v>102.99773222309369</v>
      </c>
      <c r="J86" s="11">
        <f>IF(RZS_100[[#This Row],[名前]]="","",(100+((VLOOKUP(RZS_100[[#This Row],[No用]],Q_Stat[],14,FALSE)-Statistics100!C$6)*5)/Statistics100!C$13))</f>
        <v>102.40889196498601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101.6862243754902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99.437925208169929</v>
      </c>
      <c r="O86" s="11">
        <f>IF(RZS_100[[#This Row],[名前]]="","",(100+((VLOOKUP(RZS_100[[#This Row],[No用]],Q_Stat[],19,FALSE)-Statistics100!H$6)*5)/Statistics100!H$13))</f>
        <v>97.302040999215677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99.89121133061353</v>
      </c>
      <c r="T86" s="11">
        <f>IF(RZS_100[[#This Row],[名前]]="","",(100+((VLOOKUP(RZS_100[[#This Row],[No用]],Q_Stat[],26,FALSE)-Statistics100!M$6)*5)/Statistics100!M$13))</f>
        <v>104.72142825137257</v>
      </c>
      <c r="U86" s="11">
        <f>IF(RZS_100[[#This Row],[名前]]="","",(100+((VLOOKUP(RZS_100[[#This Row],[No用]],Q_Stat[],27,FALSE)-Statistics100!N$6)*5)/Statistics100!N$13))</f>
        <v>102.40889196498601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97.109329642016789</v>
      </c>
      <c r="X86" s="11">
        <f>IF(RZS_100[[#This Row],[名前]]="","",(100+((VLOOKUP(RZS_100[[#This Row],[No用]],Q_Stat[],30,FALSE)-Statistics100!Q$6)*5)/Statistics100!Q$13))</f>
        <v>98.651020499607839</v>
      </c>
    </row>
    <row r="87" spans="1:24" x14ac:dyDescent="0.35">
      <c r="A87">
        <f>IFERROR(Stat[[#This Row],[No.]],"")</f>
        <v>86</v>
      </c>
      <c r="B87" t="str">
        <f>IFERROR(Stat[[#This Row],[服装]],"")</f>
        <v>プール掃除</v>
      </c>
      <c r="C87" t="str">
        <f>IFERROR(Stat[[#This Row],[名前]],"")</f>
        <v>岩泉一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プール掃除岩泉一ICONIC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105.29956232296922</v>
      </c>
      <c r="K87" s="11">
        <f>IF(RZS_100[[#This Row],[名前]]="","",(100+((VLOOKUP(RZS_100[[#This Row],[No用]],Q_Stat[],15,FALSE)-Statistics100!D$6)*5)/Statistics100!D$13))</f>
        <v>101.12414958366014</v>
      </c>
      <c r="L87" s="11">
        <f>IF(RZS_100[[#This Row],[名前]]="","",(100+((VLOOKUP(RZS_100[[#This Row],[No用]],Q_Stat[],16,FALSE)-Statistics100!E$6)*5)/Statistics100!E$13))</f>
        <v>103.37244875098041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100.56207479183007</v>
      </c>
      <c r="O87" s="11">
        <f>IF(RZS_100[[#This Row],[名前]]="","",(100+((VLOOKUP(RZS_100[[#This Row],[No用]],Q_Stat[],19,FALSE)-Statistics100!H$6)*5)/Statistics100!H$13))</f>
        <v>98.651020499607839</v>
      </c>
      <c r="P87" s="11">
        <f>IF(RZS_100[[#This Row],[名前]]="","",(100+((VLOOKUP(RZS_100[[#This Row],[No用]],Q_Stat[],20,FALSE)-Statistics100!I$6)*5)/Statistics100!I$13))</f>
        <v>104.49659833464055</v>
      </c>
      <c r="Q87" s="11">
        <f>IF(RZS_100[[#This Row],[名前]]="","",(100+((VLOOKUP(RZS_100[[#This Row],[No用]],Q_Stat[],21,FALSE)-Statistics100!J$6)*5)/Statistics100!J$13))</f>
        <v>100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102.93729407343454</v>
      </c>
      <c r="T87" s="11">
        <f>IF(RZS_100[[#This Row],[名前]]="","",(100+((VLOOKUP(RZS_100[[#This Row],[No用]],Q_Stat[],26,FALSE)-Statistics100!M$6)*5)/Statistics100!M$13))</f>
        <v>106.74489750196082</v>
      </c>
      <c r="U87" s="11">
        <f>IF(RZS_100[[#This Row],[名前]]="","",(100+((VLOOKUP(RZS_100[[#This Row],[No用]],Q_Stat[],27,FALSE)-Statistics100!N$6)*5)/Statistics100!N$13))</f>
        <v>104.33600553697481</v>
      </c>
      <c r="V87" s="11">
        <f>IF(RZS_100[[#This Row],[名前]]="","",(100+((VLOOKUP(RZS_100[[#This Row],[No用]],Q_Stat[],28,FALSE)-Statistics100!O$6)*5)/Statistics100!O$13))</f>
        <v>101.12414958366014</v>
      </c>
      <c r="W87" s="11">
        <f>IF(RZS_100[[#This Row],[名前]]="","",(100+((VLOOKUP(RZS_100[[#This Row],[No用]],Q_Stat[],29,FALSE)-Statistics100!P$6)*5)/Statistics100!P$13))</f>
        <v>99.036443214005601</v>
      </c>
      <c r="X87" s="11">
        <f>IF(RZS_100[[#This Row],[名前]]="","",(100+((VLOOKUP(RZS_100[[#This Row],[No用]],Q_Stat[],30,FALSE)-Statistics100!Q$6)*5)/Statistics100!Q$13))</f>
        <v>101.34897950039216</v>
      </c>
    </row>
    <row r="88" spans="1:24" x14ac:dyDescent="0.35">
      <c r="A88">
        <f>IFERROR(Stat[[#This Row],[No.]],"")</f>
        <v>87</v>
      </c>
      <c r="B88" t="str">
        <f>IFERROR(Stat[[#This Row],[服装]],"")</f>
        <v>制服</v>
      </c>
      <c r="C88" t="str">
        <f>IFERROR(Stat[[#This Row],[名前]],"")</f>
        <v>岩泉一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制服岩泉一ICONIC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107.22667589495802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106.74489750196082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98.313775624509802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100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102.93729407343454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106.26311910896362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100.9635567859944</v>
      </c>
      <c r="X88" s="11">
        <f>IF(RZS_100[[#This Row],[名前]]="","",(100+((VLOOKUP(RZS_100[[#This Row],[No用]],Q_Stat[],30,FALSE)-Statistics100!Q$6)*5)/Statistics100!Q$13))</f>
        <v>98.651020499607839</v>
      </c>
    </row>
    <row r="89" spans="1:24" x14ac:dyDescent="0.35">
      <c r="A89">
        <f>IFERROR(Stat[[#This Row],[No.]],"")</f>
        <v>88</v>
      </c>
      <c r="B89" t="str">
        <f>IFERROR(Stat[[#This Row],[服装]],"")</f>
        <v>サバゲ</v>
      </c>
      <c r="C89" t="str">
        <f>IFERROR(Stat[[#This Row],[名前]],"")</f>
        <v>岩泉一</v>
      </c>
      <c r="D89" t="str">
        <f>IFERROR(Stat[[#This Row],[じゃんけん]],"")</f>
        <v>チョキ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サバゲ岩泉一ICONIC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103.37244875098041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101.6862243754902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102.81037395915034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106.74489750196082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103.15487141220748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102.89067035798321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101.92711357198881</v>
      </c>
      <c r="X89" s="11">
        <f>IF(RZS_100[[#This Row],[名前]]="","",(100+((VLOOKUP(RZS_100[[#This Row],[No用]],Q_Stat[],30,FALSE)-Statistics100!Q$6)*5)/Statistics100!Q$13))</f>
        <v>103.37244875098041</v>
      </c>
    </row>
    <row r="90" spans="1:24" x14ac:dyDescent="0.35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金田一勇太郎</v>
      </c>
      <c r="D90" t="str">
        <f>IFERROR(Stat[[#This Row],[じゃんけん]],"")</f>
        <v>パー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ユニフォーム金田一勇太郎ICONIC</v>
      </c>
      <c r="I90" s="11">
        <f>IF(RZS_100[[#This Row],[名前]]="","",(100+((VLOOKUP(RZS_100[[#This Row],[No用]],Q_Stat[],13,FALSE)-Statistics100!B$6)*5)/Statistics100!B$13))</f>
        <v>97.751700832679731</v>
      </c>
      <c r="J90" s="11">
        <f>IF(RZS_100[[#This Row],[名前]]="","",(100+((VLOOKUP(RZS_100[[#This Row],[No用]],Q_Stat[],14,FALSE)-Statistics100!C$6)*5)/Statistics100!C$13))</f>
        <v>94.700437677030777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91.568878122548981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102.81037395915034</v>
      </c>
      <c r="O90" s="11">
        <f>IF(RZS_100[[#This Row],[名前]]="","",(100+((VLOOKUP(RZS_100[[#This Row],[No用]],Q_Stat[],19,FALSE)-Statistics100!H$6)*5)/Statistics100!H$13))</f>
        <v>97.302040999215677</v>
      </c>
      <c r="P90" s="11">
        <f>IF(RZS_100[[#This Row],[名前]]="","",(100+((VLOOKUP(RZS_100[[#This Row],[No用]],Q_Stat[],20,FALSE)-Statistics100!I$6)*5)/Statistics100!I$13))</f>
        <v>95.503401665359448</v>
      </c>
      <c r="Q90" s="11">
        <f>IF(RZS_100[[#This Row],[名前]]="","",(100+((VLOOKUP(RZS_100[[#This Row],[No用]],Q_Stat[],21,FALSE)-Statistics100!J$6)*5)/Statistics100!J$13))</f>
        <v>96.627551249019589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93.146313828652723</v>
      </c>
      <c r="T90" s="11">
        <f>IF(RZS_100[[#This Row],[名前]]="","",(100+((VLOOKUP(RZS_100[[#This Row],[No用]],Q_Stat[],26,FALSE)-Statistics100!M$6)*5)/Statistics100!M$13))</f>
        <v>97.302040999215677</v>
      </c>
      <c r="U90" s="11">
        <f>IF(RZS_100[[#This Row],[名前]]="","",(100+((VLOOKUP(RZS_100[[#This Row],[No用]],Q_Stat[],27,FALSE)-Statistics100!N$6)*5)/Statistics100!N$13))</f>
        <v>93.736880891036378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96.14577285602239</v>
      </c>
      <c r="X90" s="11">
        <f>IF(RZS_100[[#This Row],[名前]]="","",(100+((VLOOKUP(RZS_100[[#This Row],[No用]],Q_Stat[],30,FALSE)-Statistics100!Q$6)*5)/Statistics100!Q$13))</f>
        <v>100</v>
      </c>
    </row>
    <row r="91" spans="1:24" x14ac:dyDescent="0.35">
      <c r="A91">
        <f>IFERROR(Stat[[#This Row],[No.]],"")</f>
        <v>90</v>
      </c>
      <c r="B91" t="str">
        <f>IFERROR(Stat[[#This Row],[服装]],"")</f>
        <v>雪遊び</v>
      </c>
      <c r="C91" t="str">
        <f>IFERROR(Stat[[#This Row],[名前]],"")</f>
        <v>金田一勇太郎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雪遊び金田一勇太郎ICONIC</v>
      </c>
      <c r="I91" s="11">
        <f>IF(RZS_100[[#This Row],[名前]]="","",(100+((VLOOKUP(RZS_100[[#This Row],[No用]],Q_Stat[],13,FALSE)-Statistics100!B$6)*5)/Statistics100!B$13))</f>
        <v>100</v>
      </c>
      <c r="J91" s="11">
        <f>IF(RZS_100[[#This Row],[名前]]="","",(100+((VLOOKUP(RZS_100[[#This Row],[No用]],Q_Stat[],14,FALSE)-Statistics100!C$6)*5)/Statistics100!C$13))</f>
        <v>95.66399446302519</v>
      </c>
      <c r="K91" s="11">
        <f>IF(RZS_100[[#This Row],[名前]]="","",(100+((VLOOKUP(RZS_100[[#This Row],[No用]],Q_Stat[],15,FALSE)-Statistics100!D$6)*5)/Statistics100!D$13))</f>
        <v>98.875850416339858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106.18282271013075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102.24829916732027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96.192396571473736</v>
      </c>
      <c r="T91" s="11">
        <f>IF(RZS_100[[#This Row],[名前]]="","",(100+((VLOOKUP(RZS_100[[#This Row],[No用]],Q_Stat[],26,FALSE)-Statistics100!M$6)*5)/Statistics100!M$13))</f>
        <v>99.325510249803912</v>
      </c>
      <c r="U91" s="11">
        <f>IF(RZS_100[[#This Row],[名前]]="","",(100+((VLOOKUP(RZS_100[[#This Row],[No用]],Q_Stat[],27,FALSE)-Statistics100!N$6)*5)/Statistics100!N$13))</f>
        <v>94.700437677030777</v>
      </c>
      <c r="V91" s="11">
        <f>IF(RZS_100[[#This Row],[名前]]="","",(100+((VLOOKUP(RZS_100[[#This Row],[No用]],Q_Stat[],28,FALSE)-Statistics100!O$6)*5)/Statistics100!O$13))</f>
        <v>98.875850416339858</v>
      </c>
      <c r="W91" s="11">
        <f>IF(RZS_100[[#This Row],[名前]]="","",(100+((VLOOKUP(RZS_100[[#This Row],[No用]],Q_Stat[],29,FALSE)-Statistics100!P$6)*5)/Statistics100!P$13))</f>
        <v>98.072886428011188</v>
      </c>
      <c r="X91" s="11">
        <f>IF(RZS_100[[#This Row],[名前]]="","",(100+((VLOOKUP(RZS_100[[#This Row],[No用]],Q_Stat[],30,FALSE)-Statistics100!Q$6)*5)/Statistics100!Q$13))</f>
        <v>104.0469385011765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京谷賢太郎</v>
      </c>
      <c r="D92" t="str">
        <f>IFERROR(Stat[[#This Row],[じゃんけん]],"")</f>
        <v>チョキ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ユニフォーム京谷賢太郎ICONIC</v>
      </c>
      <c r="I92" s="11">
        <f>IF(RZS_100[[#This Row],[名前]]="","",(100+((VLOOKUP(RZS_100[[#This Row],[No用]],Q_Stat[],13,FALSE)-Statistics100!B$6)*5)/Statistics100!B$13))</f>
        <v>105.24603139041398</v>
      </c>
      <c r="J92" s="11">
        <f>IF(RZS_100[[#This Row],[名前]]="","",(100+((VLOOKUP(RZS_100[[#This Row],[No用]],Q_Stat[],14,FALSE)-Statistics100!C$6)*5)/Statistics100!C$13))</f>
        <v>106.26311910896362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96.065476457189519</v>
      </c>
      <c r="O92" s="11">
        <f>IF(RZS_100[[#This Row],[名前]]="","",(100+((VLOOKUP(RZS_100[[#This Row],[No用]],Q_Stat[],19,FALSE)-Statistics100!H$6)*5)/Statistics100!H$13))</f>
        <v>90.557143497254856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106.74489750196082</v>
      </c>
      <c r="R92" s="11">
        <f>IF(RZS_100[[#This Row],[名前]]="","",(100+((VLOOKUP(RZS_100[[#This Row],[No用]],Q_Stat[],22,FALSE)-Statistics100!K$6)*5)/Statistics100!K$13))</f>
        <v>93.929592248235267</v>
      </c>
      <c r="S92" s="11">
        <f>IF(RZS_100[[#This Row],[名前]]="","",(100+((VLOOKUP(RZS_100[[#This Row],[No用]],Q_Stat[],25,FALSE)-Statistics100!L$6)*5)/Statistics100!L$13))</f>
        <v>96.845128587792516</v>
      </c>
      <c r="T92" s="11">
        <f>IF(RZS_100[[#This Row],[名前]]="","",(100+((VLOOKUP(RZS_100[[#This Row],[No用]],Q_Stat[],26,FALSE)-Statistics100!M$6)*5)/Statistics100!M$13))</f>
        <v>104.0469385011765</v>
      </c>
      <c r="U92" s="11">
        <f>IF(RZS_100[[#This Row],[名前]]="","",(100+((VLOOKUP(RZS_100[[#This Row],[No用]],Q_Stat[],27,FALSE)-Statistics100!N$6)*5)/Statistics100!N$13))</f>
        <v>100.9635567859944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97.109329642016789</v>
      </c>
      <c r="X92" s="11">
        <f>IF(RZS_100[[#This Row],[名前]]="","",(100+((VLOOKUP(RZS_100[[#This Row],[No用]],Q_Stat[],30,FALSE)-Statistics100!Q$6)*5)/Statistics100!Q$13))</f>
        <v>96.627551249019589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国見英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ユニフォーム国見英ICONIC</v>
      </c>
      <c r="I93" s="11">
        <f>IF(RZS_100[[#This Row],[名前]]="","",(100+((VLOOKUP(RZS_100[[#This Row],[No用]],Q_Stat[],13,FALSE)-Statistics100!B$6)*5)/Statistics100!B$13))</f>
        <v>98.501133888453154</v>
      </c>
      <c r="J93" s="11">
        <f>IF(RZS_100[[#This Row],[名前]]="","",(100+((VLOOKUP(RZS_100[[#This Row],[No用]],Q_Stat[],14,FALSE)-Statistics100!C$6)*5)/Statistics100!C$13))</f>
        <v>96.627551249019589</v>
      </c>
      <c r="K93" s="11">
        <f>IF(RZS_100[[#This Row],[名前]]="","",(100+((VLOOKUP(RZS_100[[#This Row],[No用]],Q_Stat[],15,FALSE)-Statistics100!D$6)*5)/Statistics100!D$13))</f>
        <v>100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96.065476457189519</v>
      </c>
      <c r="O93" s="11">
        <f>IF(RZS_100[[#This Row],[名前]]="","",(100+((VLOOKUP(RZS_100[[#This Row],[No用]],Q_Stat[],19,FALSE)-Statistics100!H$6)*5)/Statistics100!H$13))</f>
        <v>98.651020499607839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98.313775624509802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94.234200522517369</v>
      </c>
      <c r="T93" s="11">
        <f>IF(RZS_100[[#This Row],[名前]]="","",(100+((VLOOKUP(RZS_100[[#This Row],[No用]],Q_Stat[],26,FALSE)-Statistics100!M$6)*5)/Statistics100!M$13))</f>
        <v>97.976530749411751</v>
      </c>
      <c r="U93" s="11">
        <f>IF(RZS_100[[#This Row],[名前]]="","",(100+((VLOOKUP(RZS_100[[#This Row],[No用]],Q_Stat[],27,FALSE)-Statistics100!N$6)*5)/Statistics100!N$13))</f>
        <v>96.14577285602239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98.072886428011188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職業体験</v>
      </c>
      <c r="C94" t="str">
        <f>IFERROR(Stat[[#This Row],[名前]],"")</f>
        <v>国見英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職業体験国見英ICONIC</v>
      </c>
      <c r="I94" s="11">
        <f>IF(RZS_100[[#This Row],[名前]]="","",(100+((VLOOKUP(RZS_100[[#This Row],[No用]],Q_Stat[],13,FALSE)-Statistics100!B$6)*5)/Statistics100!B$13))</f>
        <v>100.74943305577342</v>
      </c>
      <c r="J94" s="11">
        <f>IF(RZS_100[[#This Row],[名前]]="","",(100+((VLOOKUP(RZS_100[[#This Row],[No用]],Q_Stat[],14,FALSE)-Statistics100!C$6)*5)/Statistics100!C$13))</f>
        <v>99.518221607002801</v>
      </c>
      <c r="K94" s="11">
        <f>IF(RZS_100[[#This Row],[名前]]="","",(100+((VLOOKUP(RZS_100[[#This Row],[No用]],Q_Stat[],15,FALSE)-Statistics100!D$6)*5)/Statistics100!D$13))</f>
        <v>101.12414958366014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97.18962604084966</v>
      </c>
      <c r="O94" s="11">
        <f>IF(RZS_100[[#This Row],[名前]]="","",(100+((VLOOKUP(RZS_100[[#This Row],[No用]],Q_Stat[],19,FALSE)-Statistics100!H$6)*5)/Statistics100!H$13))</f>
        <v>100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100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97.280283265338383</v>
      </c>
      <c r="T94" s="11">
        <f>IF(RZS_100[[#This Row],[名前]]="","",(100+((VLOOKUP(RZS_100[[#This Row],[No用]],Q_Stat[],26,FALSE)-Statistics100!M$6)*5)/Statistics100!M$13))</f>
        <v>100</v>
      </c>
      <c r="U94" s="11">
        <f>IF(RZS_100[[#This Row],[名前]]="","",(100+((VLOOKUP(RZS_100[[#This Row],[No用]],Q_Stat[],27,FALSE)-Statistics100!N$6)*5)/Statistics100!N$13))</f>
        <v>98.072886428011188</v>
      </c>
      <c r="V94" s="11">
        <f>IF(RZS_100[[#This Row],[名前]]="","",(100+((VLOOKUP(RZS_100[[#This Row],[No用]],Q_Stat[],28,FALSE)-Statistics100!O$6)*5)/Statistics100!O$13))</f>
        <v>101.12414958366014</v>
      </c>
      <c r="W94" s="11">
        <f>IF(RZS_100[[#This Row],[名前]]="","",(100+((VLOOKUP(RZS_100[[#This Row],[No用]],Q_Stat[],29,FALSE)-Statistics100!P$6)*5)/Statistics100!P$13))</f>
        <v>100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路地裏</v>
      </c>
      <c r="C95" t="str">
        <f>IFERROR(Stat[[#This Row],[名前]],"")</f>
        <v>国見英</v>
      </c>
      <c r="D95" t="str">
        <f>IFERROR(Stat[[#This Row],[じゃんけん]],"")</f>
        <v>チョキ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路地裏国見英ICONIC</v>
      </c>
      <c r="I95" s="11">
        <f>IF(RZS_100[[#This Row],[名前]]="","",(100+((VLOOKUP(RZS_100[[#This Row],[No用]],Q_Stat[],13,FALSE)-Statistics100!B$6)*5)/Statistics100!B$13))</f>
        <v>100</v>
      </c>
      <c r="J95" s="11">
        <f>IF(RZS_100[[#This Row],[名前]]="","",(100+((VLOOKUP(RZS_100[[#This Row],[No用]],Q_Stat[],14,FALSE)-Statistics100!C$6)*5)/Statistics100!C$13))</f>
        <v>97.591108035013988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100.56207479183007</v>
      </c>
      <c r="O95" s="11">
        <f>IF(RZS_100[[#This Row],[名前]]="","",(100+((VLOOKUP(RZS_100[[#This Row],[No用]],Q_Stat[],19,FALSE)-Statistics100!H$6)*5)/Statistics100!H$13))</f>
        <v>102.69795900078432</v>
      </c>
      <c r="P95" s="11">
        <f>IF(RZS_100[[#This Row],[名前]]="","",(100+((VLOOKUP(RZS_100[[#This Row],[No用]],Q_Stat[],20,FALSE)-Statistics100!I$6)*5)/Statistics100!I$13))</f>
        <v>106.74489750196082</v>
      </c>
      <c r="Q95" s="11">
        <f>IF(RZS_100[[#This Row],[名前]]="","",(100+((VLOOKUP(RZS_100[[#This Row],[No用]],Q_Stat[],21,FALSE)-Statistics100!J$6)*5)/Statistics100!J$13))</f>
        <v>101.6862243754902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97.715437942884236</v>
      </c>
      <c r="T95" s="11">
        <f>IF(RZS_100[[#This Row],[名前]]="","",(100+((VLOOKUP(RZS_100[[#This Row],[No用]],Q_Stat[],26,FALSE)-Statistics100!M$6)*5)/Statistics100!M$13))</f>
        <v>99.325510249803912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102.89067035798321</v>
      </c>
      <c r="X95" s="11">
        <f>IF(RZS_100[[#This Row],[名前]]="","",(100+((VLOOKUP(RZS_100[[#This Row],[No用]],Q_Stat[],30,FALSE)-Statistics100!Q$6)*5)/Statistics100!Q$13))</f>
        <v>102.02346925058825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渡親治</v>
      </c>
      <c r="D96" t="str">
        <f>IFERROR(Stat[[#This Row],[じゃんけん]],"")</f>
        <v>グー</v>
      </c>
      <c r="E96" t="str">
        <f>IFERROR(Stat[[#This Row],[ポジション]],"")</f>
        <v>Li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ユニフォーム渡親治ICONIC</v>
      </c>
      <c r="I96" s="11">
        <f>IF(RZS_100[[#This Row],[名前]]="","",(100+((VLOOKUP(RZS_100[[#This Row],[No用]],Q_Stat[],13,FALSE)-Statistics100!B$6)*5)/Statistics100!B$13))</f>
        <v>94.004535553812602</v>
      </c>
      <c r="J96" s="11">
        <f>IF(RZS_100[[#This Row],[名前]]="","",(100+((VLOOKUP(RZS_100[[#This Row],[No用]],Q_Stat[],14,FALSE)-Statistics100!C$6)*5)/Statistics100!C$13))</f>
        <v>91.80976731904758</v>
      </c>
      <c r="K96" s="11">
        <f>IF(RZS_100[[#This Row],[名前]]="","",(100+((VLOOKUP(RZS_100[[#This Row],[No用]],Q_Stat[],15,FALSE)-Statistics100!D$6)*5)/Statistics100!D$13))</f>
        <v>105.62074791830068</v>
      </c>
      <c r="L96" s="11">
        <f>IF(RZS_100[[#This Row],[名前]]="","",(100+((VLOOKUP(RZS_100[[#This Row],[No用]],Q_Stat[],16,FALSE)-Statistics100!E$6)*5)/Statistics100!E$13))</f>
        <v>100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91.568878122548981</v>
      </c>
      <c r="O96" s="11">
        <f>IF(RZS_100[[#This Row],[名前]]="","",(100+((VLOOKUP(RZS_100[[#This Row],[No用]],Q_Stat[],19,FALSE)-Statistics100!H$6)*5)/Statistics100!H$13))</f>
        <v>109.44285650274514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108.43112187745102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99.23847931429475</v>
      </c>
      <c r="T96" s="11">
        <f>IF(RZS_100[[#This Row],[名前]]="","",(100+((VLOOKUP(RZS_100[[#This Row],[No用]],Q_Stat[],26,FALSE)-Statistics100!M$6)*5)/Statistics100!M$13))</f>
        <v>96.627551249019589</v>
      </c>
      <c r="U96" s="11">
        <f>IF(RZS_100[[#This Row],[名前]]="","",(100+((VLOOKUP(RZS_100[[#This Row],[No用]],Q_Stat[],27,FALSE)-Statistics100!N$6)*5)/Statistics100!N$13))</f>
        <v>96.627551249019589</v>
      </c>
      <c r="V96" s="11">
        <f>IF(RZS_100[[#This Row],[名前]]="","",(100+((VLOOKUP(RZS_100[[#This Row],[No用]],Q_Stat[],28,FALSE)-Statistics100!O$6)*5)/Statistics100!O$13))</f>
        <v>105.62074791830068</v>
      </c>
      <c r="W96" s="11">
        <f>IF(RZS_100[[#This Row],[名前]]="","",(100+((VLOOKUP(RZS_100[[#This Row],[No用]],Q_Stat[],29,FALSE)-Statistics100!P$6)*5)/Statistics100!P$13))</f>
        <v>111.56268143193283</v>
      </c>
      <c r="X96" s="11">
        <f>IF(RZS_100[[#This Row],[名前]]="","",(100+((VLOOKUP(RZS_100[[#This Row],[No用]],Q_Stat[],30,FALSE)-Statistics100!Q$6)*5)/Statistics100!Q$13))</f>
        <v>95.953061498823502</v>
      </c>
    </row>
    <row r="97" spans="1:24" x14ac:dyDescent="0.35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松川一静</v>
      </c>
      <c r="D97" t="str">
        <f>IFERROR(Stat[[#This Row],[じゃんけん]],"")</f>
        <v>グー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ユニフォーム松川一静ICONIC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94.700437677030777</v>
      </c>
      <c r="K97" s="11">
        <f>IF(RZS_100[[#This Row],[名前]]="","",(100+((VLOOKUP(RZS_100[[#This Row],[No用]],Q_Stat[],15,FALSE)-Statistics100!D$6)*5)/Statistics100!D$13))</f>
        <v>97.751700832679731</v>
      </c>
      <c r="L97" s="11">
        <f>IF(RZS_100[[#This Row],[名前]]="","",(100+((VLOOKUP(RZS_100[[#This Row],[No用]],Q_Stat[],16,FALSE)-Statistics100!E$6)*5)/Statistics100!E$13))</f>
        <v>93.255102498039179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102.81037395915034</v>
      </c>
      <c r="O97" s="11">
        <f>IF(RZS_100[[#This Row],[名前]]="","",(100+((VLOOKUP(RZS_100[[#This Row],[No用]],Q_Stat[],19,FALSE)-Statistics100!H$6)*5)/Statistics100!H$13))</f>
        <v>97.302040999215677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92.928736489879782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94.218659284033578</v>
      </c>
      <c r="V97" s="11">
        <f>IF(RZS_100[[#This Row],[名前]]="","",(100+((VLOOKUP(RZS_100[[#This Row],[No用]],Q_Stat[],28,FALSE)-Statistics100!O$6)*5)/Statistics100!O$13))</f>
        <v>97.751700832679731</v>
      </c>
      <c r="W97" s="11">
        <f>IF(RZS_100[[#This Row],[名前]]="","",(100+((VLOOKUP(RZS_100[[#This Row],[No用]],Q_Stat[],29,FALSE)-Statistics100!P$6)*5)/Statistics100!P$13))</f>
        <v>96.14577285602239</v>
      </c>
      <c r="X97" s="11">
        <f>IF(RZS_100[[#This Row],[名前]]="","",(100+((VLOOKUP(RZS_100[[#This Row],[No用]],Q_Stat[],30,FALSE)-Statistics100!Q$6)*5)/Statistics100!Q$13))</f>
        <v>100</v>
      </c>
    </row>
    <row r="98" spans="1:24" x14ac:dyDescent="0.35">
      <c r="A98">
        <f>IFERROR(Stat[[#This Row],[No.]],"")</f>
        <v>97</v>
      </c>
      <c r="B98" t="str">
        <f>IFERROR(Stat[[#This Row],[服装]],"")</f>
        <v>アート</v>
      </c>
      <c r="C98" t="str">
        <f>IFERROR(Stat[[#This Row],[名前]],"")</f>
        <v>松川一静</v>
      </c>
      <c r="D98" t="str">
        <f>IFERROR(Stat[[#This Row],[じゃんけん]],"")</f>
        <v>パー</v>
      </c>
      <c r="E98" t="str">
        <f>IFERROR(Stat[[#This Row],[ポジション]],"")</f>
        <v>MB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アート松川一静ICONIC</v>
      </c>
      <c r="I98" s="11">
        <f>IF(RZS_100[[#This Row],[名前]]="","",(100+((VLOOKUP(RZS_100[[#This Row],[No用]],Q_Stat[],13,FALSE)-Statistics100!B$6)*5)/Statistics100!B$13))</f>
        <v>98.501133888453154</v>
      </c>
      <c r="J98" s="11">
        <f>IF(RZS_100[[#This Row],[名前]]="","",(100+((VLOOKUP(RZS_100[[#This Row],[No用]],Q_Stat[],14,FALSE)-Statistics100!C$6)*5)/Statistics100!C$13))</f>
        <v>95.66399446302519</v>
      </c>
      <c r="K98" s="11">
        <f>IF(RZS_100[[#This Row],[名前]]="","",(100+((VLOOKUP(RZS_100[[#This Row],[No用]],Q_Stat[],15,FALSE)-Statistics100!D$6)*5)/Statistics100!D$13))</f>
        <v>98.875850416339858</v>
      </c>
      <c r="L98" s="11">
        <f>IF(RZS_100[[#This Row],[名前]]="","",(100+((VLOOKUP(RZS_100[[#This Row],[No用]],Q_Stat[],16,FALSE)-Statistics100!E$6)*5)/Statistics100!E$13))</f>
        <v>94.941326873529391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106.18282271013075</v>
      </c>
      <c r="O98" s="11">
        <f>IF(RZS_100[[#This Row],[名前]]="","",(100+((VLOOKUP(RZS_100[[#This Row],[No用]],Q_Stat[],19,FALSE)-Statistics100!H$6)*5)/Statistics100!H$13))</f>
        <v>98.651020499607839</v>
      </c>
      <c r="P98" s="11">
        <f>IF(RZS_100[[#This Row],[名前]]="","",(100+((VLOOKUP(RZS_100[[#This Row],[No用]],Q_Stat[],20,FALSE)-Statistics100!I$6)*5)/Statistics100!I$13))</f>
        <v>102.24829916732027</v>
      </c>
      <c r="Q98" s="11">
        <f>IF(RZS_100[[#This Row],[名前]]="","",(100+((VLOOKUP(RZS_100[[#This Row],[No用]],Q_Stat[],21,FALSE)-Statistics100!J$6)*5)/Statistics100!J$13))</f>
        <v>98.313775624509802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95.974819232700796</v>
      </c>
      <c r="T98" s="11">
        <f>IF(RZS_100[[#This Row],[名前]]="","",(100+((VLOOKUP(RZS_100[[#This Row],[No用]],Q_Stat[],26,FALSE)-Statistics100!M$6)*5)/Statistics100!M$13))</f>
        <v>97.976530749411751</v>
      </c>
      <c r="U98" s="11">
        <f>IF(RZS_100[[#This Row],[名前]]="","",(100+((VLOOKUP(RZS_100[[#This Row],[No用]],Q_Stat[],27,FALSE)-Statistics100!N$6)*5)/Statistics100!N$13))</f>
        <v>95.182216070027991</v>
      </c>
      <c r="V98" s="11">
        <f>IF(RZS_100[[#This Row],[名前]]="","",(100+((VLOOKUP(RZS_100[[#This Row],[No用]],Q_Stat[],28,FALSE)-Statistics100!O$6)*5)/Statistics100!O$13))</f>
        <v>98.875850416339858</v>
      </c>
      <c r="W98" s="11">
        <f>IF(RZS_100[[#This Row],[名前]]="","",(100+((VLOOKUP(RZS_100[[#This Row],[No用]],Q_Stat[],29,FALSE)-Statistics100!P$6)*5)/Statistics100!P$13))</f>
        <v>98.072886428011188</v>
      </c>
      <c r="X98" s="11">
        <f>IF(RZS_100[[#This Row],[名前]]="","",(100+((VLOOKUP(RZS_100[[#This Row],[No用]],Q_Stat[],30,FALSE)-Statistics100!Q$6)*5)/Statistics100!Q$13))</f>
        <v>104.0469385011765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花巻貴大</v>
      </c>
      <c r="D99" t="str">
        <f>IFERROR(Stat[[#This Row],[じゃんけん]],"")</f>
        <v>グー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ユニフォーム花巻貴大ICONIC</v>
      </c>
      <c r="I99" s="11">
        <f>IF(RZS_100[[#This Row],[名前]]="","",(100+((VLOOKUP(RZS_100[[#This Row],[No用]],Q_Stat[],13,FALSE)-Statistics100!B$6)*5)/Statistics100!B$13))</f>
        <v>97.751700832679731</v>
      </c>
      <c r="J99" s="11">
        <f>IF(RZS_100[[#This Row],[名前]]="","",(100+((VLOOKUP(RZS_100[[#This Row],[No用]],Q_Stat[],14,FALSE)-Statistics100!C$6)*5)/Statistics100!C$13))</f>
        <v>97.591108035013988</v>
      </c>
      <c r="K99" s="11">
        <f>IF(RZS_100[[#This Row],[名前]]="","",(100+((VLOOKUP(RZS_100[[#This Row],[No用]],Q_Stat[],15,FALSE)-Statistics100!D$6)*5)/Statistics100!D$13))</f>
        <v>102.24829916732027</v>
      </c>
      <c r="L99" s="11">
        <f>IF(RZS_100[[#This Row],[名前]]="","",(100+((VLOOKUP(RZS_100[[#This Row],[No用]],Q_Stat[],16,FALSE)-Statistics100!E$6)*5)/Statistics100!E$13))</f>
        <v>96.627551249019589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99.437925208169929</v>
      </c>
      <c r="O99" s="11">
        <f>IF(RZS_100[[#This Row],[名前]]="","",(100+((VLOOKUP(RZS_100[[#This Row],[No用]],Q_Stat[],19,FALSE)-Statistics100!H$6)*5)/Statistics100!H$13))</f>
        <v>98.651020499607839</v>
      </c>
      <c r="P99" s="11">
        <f>IF(RZS_100[[#This Row],[名前]]="","",(100+((VLOOKUP(RZS_100[[#This Row],[No用]],Q_Stat[],20,FALSE)-Statistics100!I$6)*5)/Statistics100!I$13))</f>
        <v>97.751700832679731</v>
      </c>
      <c r="Q99" s="11">
        <f>IF(RZS_100[[#This Row],[名前]]="","",(100+((VLOOKUP(RZS_100[[#This Row],[No用]],Q_Stat[],21,FALSE)-Statistics100!J$6)*5)/Statistics100!J$13))</f>
        <v>101.6862243754902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95.757241893927869</v>
      </c>
      <c r="T99" s="11">
        <f>IF(RZS_100[[#This Row],[名前]]="","",(100+((VLOOKUP(RZS_100[[#This Row],[No用]],Q_Stat[],26,FALSE)-Statistics100!M$6)*5)/Statistics100!M$13))</f>
        <v>97.302040999215677</v>
      </c>
      <c r="U99" s="11">
        <f>IF(RZS_100[[#This Row],[名前]]="","",(100+((VLOOKUP(RZS_100[[#This Row],[No用]],Q_Stat[],27,FALSE)-Statistics100!N$6)*5)/Statistics100!N$13))</f>
        <v>96.627551249019589</v>
      </c>
      <c r="V99" s="11">
        <f>IF(RZS_100[[#This Row],[名前]]="","",(100+((VLOOKUP(RZS_100[[#This Row],[No用]],Q_Stat[],28,FALSE)-Statistics100!O$6)*5)/Statistics100!O$13))</f>
        <v>102.24829916732027</v>
      </c>
      <c r="W99" s="11">
        <f>IF(RZS_100[[#This Row],[名前]]="","",(100+((VLOOKUP(RZS_100[[#This Row],[No用]],Q_Stat[],29,FALSE)-Statistics100!P$6)*5)/Statistics100!P$13))</f>
        <v>100</v>
      </c>
      <c r="X99" s="11">
        <f>IF(RZS_100[[#This Row],[名前]]="","",(100+((VLOOKUP(RZS_100[[#This Row],[No用]],Q_Stat[],30,FALSE)-Statistics100!Q$6)*5)/Statistics100!Q$13))</f>
        <v>98.651020499607839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花巻貴大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アート花巻貴大ICONIC</v>
      </c>
      <c r="I100" s="11">
        <f>IF(RZS_100[[#This Row],[名前]]="","",(100+((VLOOKUP(RZS_100[[#This Row],[No用]],Q_Stat[],13,FALSE)-Statistics100!B$6)*5)/Statistics100!B$13))</f>
        <v>100</v>
      </c>
      <c r="J100" s="11">
        <f>IF(RZS_100[[#This Row],[名前]]="","",(100+((VLOOKUP(RZS_100[[#This Row],[No用]],Q_Stat[],14,FALSE)-Statistics100!C$6)*5)/Statistics100!C$13))</f>
        <v>100.4817783929972</v>
      </c>
      <c r="K100" s="11">
        <f>IF(RZS_100[[#This Row],[名前]]="","",(100+((VLOOKUP(RZS_100[[#This Row],[No用]],Q_Stat[],15,FALSE)-Statistics100!D$6)*5)/Statistics100!D$13))</f>
        <v>103.37244875098041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100.56207479183007</v>
      </c>
      <c r="O100" s="11">
        <f>IF(RZS_100[[#This Row],[名前]]="","",(100+((VLOOKUP(RZS_100[[#This Row],[No用]],Q_Stat[],19,FALSE)-Statistics100!H$6)*5)/Statistics100!H$13))</f>
        <v>100</v>
      </c>
      <c r="P100" s="11">
        <f>IF(RZS_100[[#This Row],[名前]]="","",(100+((VLOOKUP(RZS_100[[#This Row],[No用]],Q_Stat[],20,FALSE)-Statistics100!I$6)*5)/Statistics100!I$13))</f>
        <v>104.49659833464055</v>
      </c>
      <c r="Q100" s="11">
        <f>IF(RZS_100[[#This Row],[名前]]="","",(100+((VLOOKUP(RZS_100[[#This Row],[No用]],Q_Stat[],21,FALSE)-Statistics100!J$6)*5)/Statistics100!J$13))</f>
        <v>103.37244875098041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98.803324636748883</v>
      </c>
      <c r="T100" s="11">
        <f>IF(RZS_100[[#This Row],[名前]]="","",(100+((VLOOKUP(RZS_100[[#This Row],[No用]],Q_Stat[],26,FALSE)-Statistics100!M$6)*5)/Statistics100!M$13))</f>
        <v>99.325510249803912</v>
      </c>
      <c r="U100" s="11">
        <f>IF(RZS_100[[#This Row],[名前]]="","",(100+((VLOOKUP(RZS_100[[#This Row],[No用]],Q_Stat[],27,FALSE)-Statistics100!N$6)*5)/Statistics100!N$13))</f>
        <v>98.554664821008402</v>
      </c>
      <c r="V100" s="11">
        <f>IF(RZS_100[[#This Row],[名前]]="","",(100+((VLOOKUP(RZS_100[[#This Row],[No用]],Q_Stat[],28,FALSE)-Statistics100!O$6)*5)/Statistics100!O$13))</f>
        <v>103.37244875098041</v>
      </c>
      <c r="W100" s="11">
        <f>IF(RZS_100[[#This Row],[名前]]="","",(100+((VLOOKUP(RZS_100[[#This Row],[No用]],Q_Stat[],29,FALSE)-Statistics100!P$6)*5)/Statistics100!P$13))</f>
        <v>101.92711357198881</v>
      </c>
      <c r="X100" s="11">
        <f>IF(RZS_100[[#This Row],[名前]]="","",(100+((VLOOKUP(RZS_100[[#This Row],[No用]],Q_Stat[],30,FALSE)-Statistics100!Q$6)*5)/Statistics100!Q$13))</f>
        <v>101.34897950039216</v>
      </c>
    </row>
    <row r="101" spans="1:24" x14ac:dyDescent="0.35">
      <c r="A101">
        <f>IFERROR(Stat[[#This Row],[No.]],"")</f>
        <v>100</v>
      </c>
      <c r="B101" t="str">
        <f>IFERROR(Stat[[#This Row],[服装]],"")</f>
        <v>バーガー</v>
      </c>
      <c r="C101" t="str">
        <f>IFERROR(Stat[[#This Row],[名前]],"")</f>
        <v>花巻貴大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バーガー花巻貴大ICONIC</v>
      </c>
      <c r="I101" s="11">
        <f>IF(RZS_100[[#This Row],[名前]]="","",(100+((VLOOKUP(RZS_100[[#This Row],[No用]],Q_Stat[],13,FALSE)-Statistics100!B$6)*5)/Statistics100!B$13))</f>
        <v>102.24829916732027</v>
      </c>
      <c r="J101" s="11">
        <f>IF(RZS_100[[#This Row],[名前]]="","",(100+((VLOOKUP(RZS_100[[#This Row],[No用]],Q_Stat[],14,FALSE)-Statistics100!C$6)*5)/Statistics100!C$13))</f>
        <v>98.554664821008402</v>
      </c>
      <c r="K101" s="11">
        <f>IF(RZS_100[[#This Row],[名前]]="","",(100+((VLOOKUP(RZS_100[[#This Row],[No用]],Q_Stat[],15,FALSE)-Statistics100!D$6)*5)/Statistics100!D$13))</f>
        <v>105.62074791830068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100.56207479183007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108.99319666928109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99.020901975521824</v>
      </c>
      <c r="T101" s="11">
        <f>IF(RZS_100[[#This Row],[名前]]="","",(100+((VLOOKUP(RZS_100[[#This Row],[No用]],Q_Stat[],26,FALSE)-Statistics100!M$6)*5)/Statistics100!M$13))</f>
        <v>101.34897950039216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105.62074791830068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102.69795900078432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矢巾秀</v>
      </c>
      <c r="D102" t="str">
        <f>IFERROR(Stat[[#This Row],[じゃんけん]],"")</f>
        <v>グー</v>
      </c>
      <c r="E102" t="str">
        <f>IFERROR(Stat[[#This Row],[ポジション]],"")</f>
        <v>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ユニフォーム矢巾秀ICONIC</v>
      </c>
      <c r="I102" s="11">
        <f>IF(RZS_100[[#This Row],[名前]]="","",(100+((VLOOKUP(RZS_100[[#This Row],[No用]],Q_Stat[],13,FALSE)-Statistics100!B$6)*5)/Statistics100!B$13))</f>
        <v>97.751700832679731</v>
      </c>
      <c r="J102" s="11">
        <f>IF(RZS_100[[#This Row],[名前]]="","",(100+((VLOOKUP(RZS_100[[#This Row],[No用]],Q_Stat[],14,FALSE)-Statistics100!C$6)*5)/Statistics100!C$13))</f>
        <v>101.4453351789916</v>
      </c>
      <c r="K102" s="11">
        <f>IF(RZS_100[[#This Row],[名前]]="","",(100+((VLOOKUP(RZS_100[[#This Row],[No用]],Q_Stat[],15,FALSE)-Statistics100!D$6)*5)/Statistics100!D$13))</f>
        <v>110.11734625294123</v>
      </c>
      <c r="L102" s="11">
        <f>IF(RZS_100[[#This Row],[名前]]="","",(100+((VLOOKUP(RZS_100[[#This Row],[No用]],Q_Stat[],16,FALSE)-Statistics100!E$6)*5)/Statistics100!E$13))</f>
        <v>103.37244875098041</v>
      </c>
      <c r="M102" s="11">
        <f>IF(RZS_100[[#This Row],[名前]]="","",(100+((VLOOKUP(RZS_100[[#This Row],[No用]],Q_Stat[],17,FALSE)-Statistics100!F$6)*5)/Statistics100!F$13))</f>
        <v>100</v>
      </c>
      <c r="N102" s="11">
        <f>IF(RZS_100[[#This Row],[名前]]="","",(100+((VLOOKUP(RZS_100[[#This Row],[No用]],Q_Stat[],18,FALSE)-Statistics100!G$6)*5)/Statistics100!G$13))</f>
        <v>97.18962604084966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100</v>
      </c>
      <c r="S102" s="11">
        <f>IF(RZS_100[[#This Row],[名前]]="","",(100+((VLOOKUP(RZS_100[[#This Row],[No用]],Q_Stat[],25,FALSE)-Statistics100!L$6)*5)/Statistics100!L$13))</f>
        <v>100.3263660081594</v>
      </c>
      <c r="T102" s="11">
        <f>IF(RZS_100[[#This Row],[名前]]="","",(100+((VLOOKUP(RZS_100[[#This Row],[No用]],Q_Stat[],26,FALSE)-Statistics100!M$6)*5)/Statistics100!M$13))</f>
        <v>100</v>
      </c>
      <c r="U102" s="11">
        <f>IF(RZS_100[[#This Row],[名前]]="","",(100+((VLOOKUP(RZS_100[[#This Row],[No用]],Q_Stat[],27,FALSE)-Statistics100!N$6)*5)/Statistics100!N$13))</f>
        <v>102.40889196498601</v>
      </c>
      <c r="V102" s="11">
        <f>IF(RZS_100[[#This Row],[名前]]="","",(100+((VLOOKUP(RZS_100[[#This Row],[No用]],Q_Stat[],28,FALSE)-Statistics100!O$6)*5)/Statistics100!O$13))</f>
        <v>110.11734625294123</v>
      </c>
      <c r="W102" s="11">
        <f>IF(RZS_100[[#This Row],[名前]]="","",(100+((VLOOKUP(RZS_100[[#This Row],[No用]],Q_Stat[],29,FALSE)-Statistics100!P$6)*5)/Statistics100!P$13))</f>
        <v>100</v>
      </c>
      <c r="X102" s="11">
        <f>IF(RZS_100[[#This Row],[名前]]="","",(100+((VLOOKUP(RZS_100[[#This Row],[No用]],Q_Stat[],30,FALSE)-Statistics100!Q$6)*5)/Statistics100!Q$13))</f>
        <v>96.627551249019589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駒木輝</v>
      </c>
      <c r="D103" t="str">
        <f>IFERROR(Stat[[#This Row],[じゃんけん]],"")</f>
        <v>グー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ユニフォーム駒木輝ICONIC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96.627551249019589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98.313775624509802</v>
      </c>
      <c r="O103" s="11">
        <f>IF(RZS_100[[#This Row],[名前]]="","",(100+((VLOOKUP(RZS_100[[#This Row],[No用]],Q_Stat[],19,FALSE)-Statistics100!H$6)*5)/Statistics100!H$13))</f>
        <v>95.953061498823502</v>
      </c>
      <c r="P103" s="11">
        <f>IF(RZS_100[[#This Row],[名前]]="","",(100+((VLOOKUP(RZS_100[[#This Row],[No用]],Q_Stat[],20,FALSE)-Statistics100!I$6)*5)/Statistics100!I$13))</f>
        <v>97.751700832679731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97.715437942884236</v>
      </c>
      <c r="T103" s="11">
        <f>IF(RZS_100[[#This Row],[名前]]="","",(100+((VLOOKUP(RZS_100[[#This Row],[No用]],Q_Stat[],26,FALSE)-Statistics100!M$6)*5)/Statistics100!M$13))</f>
        <v>102.02346925058825</v>
      </c>
      <c r="U103" s="11">
        <f>IF(RZS_100[[#This Row],[名前]]="","",(100+((VLOOKUP(RZS_100[[#This Row],[No用]],Q_Stat[],27,FALSE)-Statistics100!N$6)*5)/Statistics100!N$13))</f>
        <v>97.591108035013988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97.109329642016789</v>
      </c>
      <c r="X103" s="11">
        <f>IF(RZS_100[[#This Row],[名前]]="","",(100+((VLOOKUP(RZS_100[[#This Row],[No用]],Q_Stat[],30,FALSE)-Statistics100!Q$6)*5)/Statistics100!Q$13))</f>
        <v>97.976530749411751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茶屋和馬</v>
      </c>
      <c r="D104" t="str">
        <f>IFERROR(Stat[[#This Row],[じゃんけん]],"")</f>
        <v>パー</v>
      </c>
      <c r="E104" t="str">
        <f>IFERROR(Stat[[#This Row],[ポジション]],"")</f>
        <v>MB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ユニフォーム茶屋和馬ICONIC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96.627551249019589</v>
      </c>
      <c r="K104" s="11">
        <f>IF(RZS_100[[#This Row],[名前]]="","",(100+((VLOOKUP(RZS_100[[#This Row],[No用]],Q_Stat[],15,FALSE)-Statistics100!D$6)*5)/Statistics100!D$13))</f>
        <v>98.875850416339858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102.81037395915034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94.016623183744429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95.66399446302519</v>
      </c>
      <c r="V104" s="11">
        <f>IF(RZS_100[[#This Row],[名前]]="","",(100+((VLOOKUP(RZS_100[[#This Row],[No用]],Q_Stat[],28,FALSE)-Statistics100!O$6)*5)/Statistics100!O$13))</f>
        <v>98.875850416339858</v>
      </c>
      <c r="W104" s="11">
        <f>IF(RZS_100[[#This Row],[名前]]="","",(100+((VLOOKUP(RZS_100[[#This Row],[No用]],Q_Stat[],29,FALSE)-Statistics100!P$6)*5)/Statistics100!P$13))</f>
        <v>97.109329642016789</v>
      </c>
      <c r="X104" s="11">
        <f>IF(RZS_100[[#This Row],[名前]]="","",(100+((VLOOKUP(RZS_100[[#This Row],[No用]],Q_Stat[],30,FALSE)-Statistics100!Q$6)*5)/Statistics100!Q$13))</f>
        <v>100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玉川弘樹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ユニフォーム玉川弘樹ICONIC</v>
      </c>
      <c r="I105" s="11">
        <f>IF(RZS_100[[#This Row],[名前]]="","",(100+((VLOOKUP(RZS_100[[#This Row],[No用]],Q_Stat[],13,FALSE)-Statistics100!B$6)*5)/Statistics100!B$13))</f>
        <v>97.002267776906308</v>
      </c>
      <c r="J105" s="11">
        <f>IF(RZS_100[[#This Row],[名前]]="","",(100+((VLOOKUP(RZS_100[[#This Row],[No用]],Q_Stat[],14,FALSE)-Statistics100!C$6)*5)/Statistics100!C$13))</f>
        <v>95.66399446302519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96.627551249019589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98.313775624509802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94.451777861290296</v>
      </c>
      <c r="T105" s="11">
        <f>IF(RZS_100[[#This Row],[名前]]="","",(100+((VLOOKUP(RZS_100[[#This Row],[No用]],Q_Stat[],26,FALSE)-Statistics100!M$6)*5)/Statistics100!M$13))</f>
        <v>96.627551249019589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99.036443214005601</v>
      </c>
      <c r="X105" s="11">
        <f>IF(RZS_100[[#This Row],[名前]]="","",(100+((VLOOKUP(RZS_100[[#This Row],[No用]],Q_Stat[],30,FALSE)-Statistics100!Q$6)*5)/Statistics100!Q$13))</f>
        <v>98.651020499607839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桜井大河</v>
      </c>
      <c r="D106" t="str">
        <f>IFERROR(Stat[[#This Row],[じゃんけん]],"")</f>
        <v>パー</v>
      </c>
      <c r="E106" t="str">
        <f>IFERROR(Stat[[#This Row],[ポジション]],"")</f>
        <v>Li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ユニフォーム桜井大河ICONIC</v>
      </c>
      <c r="I106" s="11">
        <f>IF(RZS_100[[#This Row],[名前]]="","",(100+((VLOOKUP(RZS_100[[#This Row],[No用]],Q_Stat[],13,FALSE)-Statistics100!B$6)*5)/Statistics100!B$13))</f>
        <v>94.004535553812602</v>
      </c>
      <c r="J106" s="11">
        <f>IF(RZS_100[[#This Row],[名前]]="","",(100+((VLOOKUP(RZS_100[[#This Row],[No用]],Q_Stat[],14,FALSE)-Statistics100!C$6)*5)/Statistics100!C$13))</f>
        <v>91.80976731904758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101.6862243754902</v>
      </c>
      <c r="M106" s="11">
        <f>IF(RZS_100[[#This Row],[名前]]="","",(100+((VLOOKUP(RZS_100[[#This Row],[No用]],Q_Stat[],17,FALSE)-Statistics100!F$6)*5)/Statistics100!F$13))</f>
        <v>100</v>
      </c>
      <c r="N106" s="11">
        <f>IF(RZS_100[[#This Row],[名前]]="","",(100+((VLOOKUP(RZS_100[[#This Row],[No用]],Q_Stat[],18,FALSE)-Statistics100!G$6)*5)/Statistics100!G$13))</f>
        <v>91.568878122548981</v>
      </c>
      <c r="O106" s="11">
        <f>IF(RZS_100[[#This Row],[名前]]="","",(100+((VLOOKUP(RZS_100[[#This Row],[No用]],Q_Stat[],19,FALSE)-Statistics100!H$6)*5)/Statistics100!H$13))</f>
        <v>109.44285650274514</v>
      </c>
      <c r="P106" s="11">
        <f>IF(RZS_100[[#This Row],[名前]]="","",(100+((VLOOKUP(RZS_100[[#This Row],[No用]],Q_Stat[],20,FALSE)-Statistics100!I$6)*5)/Statistics100!I$13))</f>
        <v>102.24829916732027</v>
      </c>
      <c r="Q106" s="11">
        <f>IF(RZS_100[[#This Row],[名前]]="","",(100+((VLOOKUP(RZS_100[[#This Row],[No用]],Q_Stat[],21,FALSE)-Statistics100!J$6)*5)/Statistics100!J$13))</f>
        <v>106.74489750196082</v>
      </c>
      <c r="R106" s="11">
        <f>IF(RZS_100[[#This Row],[名前]]="","",(100+((VLOOKUP(RZS_100[[#This Row],[No用]],Q_Stat[],22,FALSE)-Statistics100!K$6)*5)/Statistics100!K$13))</f>
        <v>103.37244875098041</v>
      </c>
      <c r="S106" s="11">
        <f>IF(RZS_100[[#This Row],[名前]]="","",(100+((VLOOKUP(RZS_100[[#This Row],[No用]],Q_Stat[],25,FALSE)-Statistics100!L$6)*5)/Statistics100!L$13))</f>
        <v>97.715437942884236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110.59912464593843</v>
      </c>
      <c r="X106" s="11">
        <f>IF(RZS_100[[#This Row],[名前]]="","",(100+((VLOOKUP(RZS_100[[#This Row],[No用]],Q_Stat[],30,FALSE)-Statistics100!Q$6)*5)/Statistics100!Q$13))</f>
        <v>95.278571748627428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芳賀良治</v>
      </c>
      <c r="D107" t="str">
        <f>IFERROR(Stat[[#This Row],[じゃんけん]],"")</f>
        <v>パー</v>
      </c>
      <c r="E107" t="str">
        <f>IFERROR(Stat[[#This Row],[ポジション]],"")</f>
        <v>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ユニフォーム芳賀良治ICONIC</v>
      </c>
      <c r="I107" s="11">
        <f>IF(RZS_100[[#This Row],[名前]]="","",(100+((VLOOKUP(RZS_100[[#This Row],[No用]],Q_Stat[],13,FALSE)-Statistics100!B$6)*5)/Statistics100!B$13))</f>
        <v>99.250566944226577</v>
      </c>
      <c r="J107" s="11">
        <f>IF(RZS_100[[#This Row],[名前]]="","",(100+((VLOOKUP(RZS_100[[#This Row],[No用]],Q_Stat[],14,FALSE)-Statistics100!C$6)*5)/Statistics100!C$13))</f>
        <v>97.591108035013988</v>
      </c>
      <c r="K107" s="11">
        <f>IF(RZS_100[[#This Row],[名前]]="","",(100+((VLOOKUP(RZS_100[[#This Row],[No用]],Q_Stat[],15,FALSE)-Statistics100!D$6)*5)/Statistics100!D$13))</f>
        <v>107.86904708562096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96.065476457189519</v>
      </c>
      <c r="O107" s="11">
        <f>IF(RZS_100[[#This Row],[名前]]="","",(100+((VLOOKUP(RZS_100[[#This Row],[No用]],Q_Stat[],19,FALSE)-Statistics100!H$6)*5)/Statistics100!H$13))</f>
        <v>95.953061498823502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95.539664555154943</v>
      </c>
      <c r="T107" s="11">
        <f>IF(RZS_100[[#This Row],[名前]]="","",(100+((VLOOKUP(RZS_100[[#This Row],[No用]],Q_Stat[],26,FALSE)-Statistics100!M$6)*5)/Statistics100!M$13))</f>
        <v>98.651020499607839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107.86904708562096</v>
      </c>
      <c r="W107" s="11">
        <f>IF(RZS_100[[#This Row],[名前]]="","",(100+((VLOOKUP(RZS_100[[#This Row],[No用]],Q_Stat[],29,FALSE)-Statistics100!P$6)*5)/Statistics100!P$13))</f>
        <v>95.182216070027991</v>
      </c>
      <c r="X107" s="11">
        <f>IF(RZS_100[[#This Row],[名前]]="","",(100+((VLOOKUP(RZS_100[[#This Row],[No用]],Q_Stat[],30,FALSE)-Statistics100!Q$6)*5)/Statistics100!Q$13))</f>
        <v>95.953061498823502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渋谷陸斗</v>
      </c>
      <c r="D108" t="str">
        <f>IFERROR(Stat[[#This Row],[じゃんけん]],"")</f>
        <v>パー</v>
      </c>
      <c r="E108" t="str">
        <f>IFERROR(Stat[[#This Row],[ポジション]],"")</f>
        <v>MB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ユニフォーム渋谷陸斗ICONIC</v>
      </c>
      <c r="I108" s="11">
        <f>IF(RZS_100[[#This Row],[名前]]="","",(100+((VLOOKUP(RZS_100[[#This Row],[No用]],Q_Stat[],13,FALSE)-Statistics100!B$6)*5)/Statistics100!B$13))</f>
        <v>95.503401665359448</v>
      </c>
      <c r="J108" s="11">
        <f>IF(RZS_100[[#This Row],[名前]]="","",(100+((VLOOKUP(RZS_100[[#This Row],[No用]],Q_Stat[],14,FALSE)-Statistics100!C$6)*5)/Statistics100!C$13))</f>
        <v>95.66399446302519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96.627551249019589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102.81037395915034</v>
      </c>
      <c r="O108" s="11">
        <f>IF(RZS_100[[#This Row],[名前]]="","",(100+((VLOOKUP(RZS_100[[#This Row],[No用]],Q_Stat[],19,FALSE)-Statistics100!H$6)*5)/Statistics100!H$13))</f>
        <v>97.302040999215677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93.363891167425649</v>
      </c>
      <c r="T108" s="11">
        <f>IF(RZS_100[[#This Row],[名前]]="","",(100+((VLOOKUP(RZS_100[[#This Row],[No用]],Q_Stat[],26,FALSE)-Statistics100!M$6)*5)/Statistics100!M$13))</f>
        <v>95.278571748627428</v>
      </c>
      <c r="U108" s="11">
        <f>IF(RZS_100[[#This Row],[名前]]="","",(100+((VLOOKUP(RZS_100[[#This Row],[No用]],Q_Stat[],27,FALSE)-Statistics100!N$6)*5)/Statistics100!N$13))</f>
        <v>95.66399446302519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96.14577285602239</v>
      </c>
      <c r="X108" s="11">
        <f>IF(RZS_100[[#This Row],[名前]]="","",(100+((VLOOKUP(RZS_100[[#This Row],[No用]],Q_Stat[],30,FALSE)-Statistics100!Q$6)*5)/Statistics100!Q$13))</f>
        <v>100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池尻隼人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ユニフォーム池尻隼人ICONIC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97.591108035013988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98.313775624509802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94.886932538836149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98.072886428011188</v>
      </c>
      <c r="X109" s="11">
        <f>IF(RZS_100[[#This Row],[名前]]="","",(100+((VLOOKUP(RZS_100[[#This Row],[No用]],Q_Stat[],30,FALSE)-Statistics100!Q$6)*5)/Statistics100!Q$13))</f>
        <v>98.651020499607839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十和田良樹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ユニフォーム十和田良樹ICONIC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97.591108035013988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100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98.313775624509802</v>
      </c>
      <c r="O110" s="11">
        <f>IF(RZS_100[[#This Row],[名前]]="","",(100+((VLOOKUP(RZS_100[[#This Row],[No用]],Q_Stat[],19,FALSE)-Statistics100!H$6)*5)/Statistics100!H$13))</f>
        <v>98.651020499607839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98.150592620430103</v>
      </c>
      <c r="T110" s="11">
        <f>IF(RZS_100[[#This Row],[名前]]="","",(100+((VLOOKUP(RZS_100[[#This Row],[No用]],Q_Stat[],26,FALSE)-Statistics100!M$6)*5)/Statistics100!M$13))</f>
        <v>99.325510249803912</v>
      </c>
      <c r="U110" s="11">
        <f>IF(RZS_100[[#This Row],[名前]]="","",(100+((VLOOKUP(RZS_100[[#This Row],[No用]],Q_Stat[],27,FALSE)-Statistics100!N$6)*5)/Statistics100!N$13))</f>
        <v>97.591108035013988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98.072886428011188</v>
      </c>
      <c r="X110" s="11">
        <f>IF(RZS_100[[#This Row],[名前]]="","",(100+((VLOOKUP(RZS_100[[#This Row],[No用]],Q_Stat[],30,FALSE)-Statistics100!Q$6)*5)/Statistics100!Q$13))</f>
        <v>98.651020499607839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森岳歩</v>
      </c>
      <c r="D111" t="str">
        <f>IFERROR(Stat[[#This Row],[じゃんけん]],"")</f>
        <v>チョキ</v>
      </c>
      <c r="E111" t="str">
        <f>IFERROR(Stat[[#This Row],[ポジション]],"")</f>
        <v>MB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ユニフォーム森岳歩ICONIC</v>
      </c>
      <c r="I111" s="11">
        <f>IF(RZS_100[[#This Row],[名前]]="","",(100+((VLOOKUP(RZS_100[[#This Row],[No用]],Q_Stat[],13,FALSE)-Statistics100!B$6)*5)/Statistics100!B$13))</f>
        <v>96.252834721132885</v>
      </c>
      <c r="J111" s="11">
        <f>IF(RZS_100[[#This Row],[名前]]="","",(100+((VLOOKUP(RZS_100[[#This Row],[No用]],Q_Stat[],14,FALSE)-Statistics100!C$6)*5)/Statistics100!C$13))</f>
        <v>95.66399446302519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94.941326873529391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102.81037395915034</v>
      </c>
      <c r="O111" s="11">
        <f>IF(RZS_100[[#This Row],[名前]]="","",(100+((VLOOKUP(RZS_100[[#This Row],[No用]],Q_Stat[],19,FALSE)-Statistics100!H$6)*5)/Statistics100!H$13))</f>
        <v>97.302040999215677</v>
      </c>
      <c r="P111" s="11">
        <f>IF(RZS_100[[#This Row],[名前]]="","",(100+((VLOOKUP(RZS_100[[#This Row],[No用]],Q_Stat[],20,FALSE)-Statistics100!I$6)*5)/Statistics100!I$13))</f>
        <v>95.503401665359448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93.363891167425649</v>
      </c>
      <c r="T111" s="11">
        <f>IF(RZS_100[[#This Row],[名前]]="","",(100+((VLOOKUP(RZS_100[[#This Row],[No用]],Q_Stat[],26,FALSE)-Statistics100!M$6)*5)/Statistics100!M$13))</f>
        <v>95.953061498823502</v>
      </c>
      <c r="U111" s="11">
        <f>IF(RZS_100[[#This Row],[名前]]="","",(100+((VLOOKUP(RZS_100[[#This Row],[No用]],Q_Stat[],27,FALSE)-Statistics100!N$6)*5)/Statistics100!N$13))</f>
        <v>95.182216070027991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96.14577285602239</v>
      </c>
      <c r="X111" s="11">
        <f>IF(RZS_100[[#This Row],[名前]]="","",(100+((VLOOKUP(RZS_100[[#This Row],[No用]],Q_Stat[],30,FALSE)-Statistics100!Q$6)*5)/Statistics100!Q$13))</f>
        <v>100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唐松拓巳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ユニフォーム唐松拓巳ICONIC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98.554664821008402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99.437925208169929</v>
      </c>
      <c r="O112" s="11">
        <f>IF(RZS_100[[#This Row],[名前]]="","",(100+((VLOOKUP(RZS_100[[#This Row],[No用]],Q_Stat[],19,FALSE)-Statistics100!H$6)*5)/Statistics100!H$13))</f>
        <v>100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96.845128587792516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98.072886428011188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100</v>
      </c>
      <c r="X112" s="11">
        <f>IF(RZS_100[[#This Row],[名前]]="","",(100+((VLOOKUP(RZS_100[[#This Row],[No用]],Q_Stat[],30,FALSE)-Statistics100!Q$6)*5)/Statistics100!Q$13))</f>
        <v>99.325510249803912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田沢裕樹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ユニフォーム田沢裕樹ICONIC</v>
      </c>
      <c r="I113" s="11">
        <f>IF(RZS_100[[#This Row],[名前]]="","",(100+((VLOOKUP(RZS_100[[#This Row],[No用]],Q_Stat[],13,FALSE)-Statistics100!B$6)*5)/Statistics100!B$13))</f>
        <v>97.751700832679731</v>
      </c>
      <c r="J113" s="11">
        <f>IF(RZS_100[[#This Row],[名前]]="","",(100+((VLOOKUP(RZS_100[[#This Row],[No用]],Q_Stat[],14,FALSE)-Statistics100!C$6)*5)/Statistics100!C$13))</f>
        <v>97.591108035013988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96.627551249019589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99.437925208169929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95.104509877609075</v>
      </c>
      <c r="T113" s="11">
        <f>IF(RZS_100[[#This Row],[名前]]="","",(100+((VLOOKUP(RZS_100[[#This Row],[No用]],Q_Stat[],26,FALSE)-Statistics100!M$6)*5)/Statistics100!M$13))</f>
        <v>97.302040999215677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98.072886428011188</v>
      </c>
      <c r="X113" s="11">
        <f>IF(RZS_100[[#This Row],[名前]]="","",(100+((VLOOKUP(RZS_100[[#This Row],[No用]],Q_Stat[],30,FALSE)-Statistics100!Q$6)*5)/Statistics100!Q$13))</f>
        <v>99.325510249803912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子安颯真</v>
      </c>
      <c r="D114" t="str">
        <f>IFERROR(Stat[[#This Row],[じゃんけん]],"")</f>
        <v>チョキ</v>
      </c>
      <c r="E114" t="str">
        <f>IFERROR(Stat[[#This Row],[ポジション]],"")</f>
        <v>MB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ユニフォーム子安颯真ICONIC</v>
      </c>
      <c r="I114" s="11">
        <f>IF(RZS_100[[#This Row],[名前]]="","",(100+((VLOOKUP(RZS_100[[#This Row],[No用]],Q_Stat[],13,FALSE)-Statistics100!B$6)*5)/Statistics100!B$13))</f>
        <v>97.751700832679731</v>
      </c>
      <c r="J114" s="11">
        <f>IF(RZS_100[[#This Row],[名前]]="","",(100+((VLOOKUP(RZS_100[[#This Row],[No用]],Q_Stat[],14,FALSE)-Statistics100!C$6)*5)/Statistics100!C$13))</f>
        <v>99.518221607002801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102.81037395915034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95.503401665359448</v>
      </c>
      <c r="Q114" s="11">
        <f>IF(RZS_100[[#This Row],[名前]]="","",(100+((VLOOKUP(RZS_100[[#This Row],[No用]],Q_Stat[],21,FALSE)-Statistics100!J$6)*5)/Statistics100!J$13))</f>
        <v>96.627551249019589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95.104509877609075</v>
      </c>
      <c r="T114" s="11">
        <f>IF(RZS_100[[#This Row],[名前]]="","",(100+((VLOOKUP(RZS_100[[#This Row],[No用]],Q_Stat[],26,FALSE)-Statistics100!M$6)*5)/Statistics100!M$13))</f>
        <v>97.302040999215677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97.751700832679731</v>
      </c>
      <c r="W114" s="11">
        <f>IF(RZS_100[[#This Row],[名前]]="","",(100+((VLOOKUP(RZS_100[[#This Row],[No用]],Q_Stat[],29,FALSE)-Statistics100!P$6)*5)/Statistics100!P$13))</f>
        <v>96.14577285602239</v>
      </c>
      <c r="X114" s="11">
        <f>IF(RZS_100[[#This Row],[名前]]="","",(100+((VLOOKUP(RZS_100[[#This Row],[No用]],Q_Stat[],30,FALSE)-Statistics100!Q$6)*5)/Statistics100!Q$13))</f>
        <v>100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横手駿</v>
      </c>
      <c r="D115" t="str">
        <f>IFERROR(Stat[[#This Row],[じゃんけん]],"")</f>
        <v>チョキ</v>
      </c>
      <c r="E115" t="str">
        <f>IFERROR(Stat[[#This Row],[ポジション]],"")</f>
        <v>Li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ユニフォーム横手駿ICONIC</v>
      </c>
      <c r="I115" s="11">
        <f>IF(RZS_100[[#This Row],[名前]]="","",(100+((VLOOKUP(RZS_100[[#This Row],[No用]],Q_Stat[],13,FALSE)-Statistics100!B$6)*5)/Statistics100!B$13))</f>
        <v>94.004535553812602</v>
      </c>
      <c r="J115" s="11">
        <f>IF(RZS_100[[#This Row],[名前]]="","",(100+((VLOOKUP(RZS_100[[#This Row],[No用]],Q_Stat[],14,FALSE)-Statistics100!C$6)*5)/Statistics100!C$13))</f>
        <v>91.80976731904758</v>
      </c>
      <c r="K115" s="11">
        <f>IF(RZS_100[[#This Row],[名前]]="","",(100+((VLOOKUP(RZS_100[[#This Row],[No用]],Q_Stat[],15,FALSE)-Statistics100!D$6)*5)/Statistics100!D$13))</f>
        <v>98.875850416339858</v>
      </c>
      <c r="L115" s="11">
        <f>IF(RZS_100[[#This Row],[名前]]="","",(100+((VLOOKUP(RZS_100[[#This Row],[No用]],Q_Stat[],16,FALSE)-Statistics100!E$6)*5)/Statistics100!E$13))</f>
        <v>101.6862243754902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91.568878122548981</v>
      </c>
      <c r="O115" s="11">
        <f>IF(RZS_100[[#This Row],[名前]]="","",(100+((VLOOKUP(RZS_100[[#This Row],[No用]],Q_Stat[],19,FALSE)-Statistics100!H$6)*5)/Statistics100!H$13))</f>
        <v>106.74489750196082</v>
      </c>
      <c r="P115" s="11">
        <f>IF(RZS_100[[#This Row],[名前]]="","",(100+((VLOOKUP(RZS_100[[#This Row],[No用]],Q_Stat[],20,FALSE)-Statistics100!I$6)*5)/Statistics100!I$13))</f>
        <v>102.24829916732027</v>
      </c>
      <c r="Q115" s="11">
        <f>IF(RZS_100[[#This Row],[名前]]="","",(100+((VLOOKUP(RZS_100[[#This Row],[No用]],Q_Stat[],21,FALSE)-Statistics100!J$6)*5)/Statistics100!J$13))</f>
        <v>105.05867312647061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97.062705926565457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97.109329642016789</v>
      </c>
      <c r="V115" s="11">
        <f>IF(RZS_100[[#This Row],[名前]]="","",(100+((VLOOKUP(RZS_100[[#This Row],[No用]],Q_Stat[],28,FALSE)-Statistics100!O$6)*5)/Statistics100!O$13))</f>
        <v>98.875850416339858</v>
      </c>
      <c r="W115" s="11">
        <f>IF(RZS_100[[#This Row],[名前]]="","",(100+((VLOOKUP(RZS_100[[#This Row],[No用]],Q_Stat[],29,FALSE)-Statistics100!P$6)*5)/Statistics100!P$13))</f>
        <v>107.70845428795522</v>
      </c>
      <c r="X115" s="11">
        <f>IF(RZS_100[[#This Row],[名前]]="","",(100+((VLOOKUP(RZS_100[[#This Row],[No用]],Q_Stat[],30,FALSE)-Statistics100!Q$6)*5)/Statistics100!Q$13))</f>
        <v>95.278571748627428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夏瀬伊吹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ユニフォーム夏瀬伊吹ICONIC</v>
      </c>
      <c r="I116" s="11">
        <f>IF(RZS_100[[#This Row],[名前]]="","",(100+((VLOOKUP(RZS_100[[#This Row],[No用]],Q_Stat[],13,FALSE)-Statistics100!B$6)*5)/Statistics100!B$13))</f>
        <v>97.002267776906308</v>
      </c>
      <c r="J116" s="11">
        <f>IF(RZS_100[[#This Row],[名前]]="","",(100+((VLOOKUP(RZS_100[[#This Row],[No用]],Q_Stat[],14,FALSE)-Statistics100!C$6)*5)/Statistics100!C$13))</f>
        <v>96.627551249019589</v>
      </c>
      <c r="K116" s="11">
        <f>IF(RZS_100[[#This Row],[名前]]="","",(100+((VLOOKUP(RZS_100[[#This Row],[No用]],Q_Stat[],15,FALSE)-Statistics100!D$6)*5)/Statistics100!D$13))</f>
        <v>106.74489750196082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99.437925208169929</v>
      </c>
      <c r="O116" s="11">
        <f>IF(RZS_100[[#This Row],[名前]]="","",(100+((VLOOKUP(RZS_100[[#This Row],[No用]],Q_Stat[],19,FALSE)-Statistics100!H$6)*5)/Statistics100!H$13))</f>
        <v>95.953061498823502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95.539664555154943</v>
      </c>
      <c r="T116" s="11">
        <f>IF(RZS_100[[#This Row],[名前]]="","",(100+((VLOOKUP(RZS_100[[#This Row],[No用]],Q_Stat[],26,FALSE)-Statistics100!M$6)*5)/Statistics100!M$13))</f>
        <v>96.627551249019589</v>
      </c>
      <c r="U116" s="11">
        <f>IF(RZS_100[[#This Row],[名前]]="","",(100+((VLOOKUP(RZS_100[[#This Row],[No用]],Q_Stat[],27,FALSE)-Statistics100!N$6)*5)/Statistics100!N$13))</f>
        <v>96.627551249019589</v>
      </c>
      <c r="V116" s="11">
        <f>IF(RZS_100[[#This Row],[名前]]="","",(100+((VLOOKUP(RZS_100[[#This Row],[No用]],Q_Stat[],28,FALSE)-Statistics100!O$6)*5)/Statistics100!O$13))</f>
        <v>106.74489750196082</v>
      </c>
      <c r="W116" s="11">
        <f>IF(RZS_100[[#This Row],[名前]]="","",(100+((VLOOKUP(RZS_100[[#This Row],[No用]],Q_Stat[],29,FALSE)-Statistics100!P$6)*5)/Statistics100!P$13))</f>
        <v>96.14577285602239</v>
      </c>
      <c r="X116" s="11">
        <f>IF(RZS_100[[#This Row],[名前]]="","",(100+((VLOOKUP(RZS_100[[#This Row],[No用]],Q_Stat[],30,FALSE)-Statistics100!Q$6)*5)/Statistics100!Q$13))</f>
        <v>98.651020499607839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秋宮昇</v>
      </c>
      <c r="D117" t="str">
        <f>IFERROR(Stat[[#This Row],[じゃんけん]],"")</f>
        <v>チョキ</v>
      </c>
      <c r="E117" t="str">
        <f>IFERROR(Stat[[#This Row],[ポジション]],"")</f>
        <v>S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ユニフォーム秋宮昇ICONIC</v>
      </c>
      <c r="I117" s="11">
        <f>IF(RZS_100[[#This Row],[名前]]="","",(100+((VLOOKUP(RZS_100[[#This Row],[No用]],Q_Stat[],13,FALSE)-Statistics100!B$6)*5)/Statistics100!B$13))</f>
        <v>97.002267776906308</v>
      </c>
      <c r="J117" s="11">
        <f>IF(RZS_100[[#This Row],[名前]]="","",(100+((VLOOKUP(RZS_100[[#This Row],[No用]],Q_Stat[],14,FALSE)-Statistics100!C$6)*5)/Statistics100!C$13))</f>
        <v>101.4453351789916</v>
      </c>
      <c r="K117" s="11">
        <f>IF(RZS_100[[#This Row],[名前]]="","",(100+((VLOOKUP(RZS_100[[#This Row],[No用]],Q_Stat[],15,FALSE)-Statistics100!D$6)*5)/Statistics100!D$13))</f>
        <v>111.24149583660136</v>
      </c>
      <c r="L117" s="11">
        <f>IF(RZS_100[[#This Row],[名前]]="","",(100+((VLOOKUP(RZS_100[[#This Row],[No用]],Q_Stat[],16,FALSE)-Statistics100!E$6)*5)/Statistics100!E$13))</f>
        <v>103.37244875098041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101.6862243754902</v>
      </c>
      <c r="O117" s="11">
        <f>IF(RZS_100[[#This Row],[名前]]="","",(100+((VLOOKUP(RZS_100[[#This Row],[No用]],Q_Stat[],19,FALSE)-Statistics100!H$6)*5)/Statistics100!H$13))</f>
        <v>101.34897950039216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103.37244875098041</v>
      </c>
      <c r="R117" s="11">
        <f>IF(RZS_100[[#This Row],[名前]]="","",(100+((VLOOKUP(RZS_100[[#This Row],[No用]],Q_Stat[],22,FALSE)-Statistics100!K$6)*5)/Statistics100!K$13))</f>
        <v>100</v>
      </c>
      <c r="S117" s="11">
        <f>IF(RZS_100[[#This Row],[名前]]="","",(100+((VLOOKUP(RZS_100[[#This Row],[No用]],Q_Stat[],25,FALSE)-Statistics100!L$6)*5)/Statistics100!L$13))</f>
        <v>101.19667536325112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100.4817783929972</v>
      </c>
      <c r="V117" s="11">
        <f>IF(RZS_100[[#This Row],[名前]]="","",(100+((VLOOKUP(RZS_100[[#This Row],[No用]],Q_Stat[],28,FALSE)-Statistics100!O$6)*5)/Statistics100!O$13))</f>
        <v>111.24149583660136</v>
      </c>
      <c r="W117" s="11">
        <f>IF(RZS_100[[#This Row],[名前]]="","",(100+((VLOOKUP(RZS_100[[#This Row],[No用]],Q_Stat[],29,FALSE)-Statistics100!P$6)*5)/Statistics100!P$13))</f>
        <v>102.89067035798321</v>
      </c>
      <c r="X117" s="11">
        <f>IF(RZS_100[[#This Row],[名前]]="","",(100+((VLOOKUP(RZS_100[[#This Row],[No用]],Q_Stat[],30,FALSE)-Statistics100!Q$6)*5)/Statistics100!Q$13))</f>
        <v>100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古牧譲</v>
      </c>
      <c r="D118" t="str">
        <f>IFERROR(Stat[[#This Row],[じゃんけん]],"")</f>
        <v>グー</v>
      </c>
      <c r="E118" t="str">
        <f>IFERROR(Stat[[#This Row],[ポジション]],"")</f>
        <v>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ユニフォーム古牧譲ICONIC</v>
      </c>
      <c r="I118" s="11">
        <f>IF(RZS_100[[#This Row],[名前]]="","",(100+((VLOOKUP(RZS_100[[#This Row],[No用]],Q_Stat[],13,FALSE)-Statistics100!B$6)*5)/Statistics100!B$13))</f>
        <v>100</v>
      </c>
      <c r="J118" s="11">
        <f>IF(RZS_100[[#This Row],[名前]]="","",(100+((VLOOKUP(RZS_100[[#This Row],[No用]],Q_Stat[],14,FALSE)-Statistics100!C$6)*5)/Statistics100!C$13))</f>
        <v>100.4817783929972</v>
      </c>
      <c r="K118" s="11">
        <f>IF(RZS_100[[#This Row],[名前]]="","",(100+((VLOOKUP(RZS_100[[#This Row],[No用]],Q_Stat[],15,FALSE)-Statistics100!D$6)*5)/Statistics100!D$13))</f>
        <v>108.99319666928109</v>
      </c>
      <c r="L118" s="11">
        <f>IF(RZS_100[[#This Row],[名前]]="","",(100+((VLOOKUP(RZS_100[[#This Row],[No用]],Q_Stat[],16,FALSE)-Statistics100!E$6)*5)/Statistics100!E$13))</f>
        <v>101.6862243754902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98.313775624509802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106.74489750196082</v>
      </c>
      <c r="Q118" s="11">
        <f>IF(RZS_100[[#This Row],[名前]]="","",(100+((VLOOKUP(RZS_100[[#This Row],[No用]],Q_Stat[],21,FALSE)-Statistics100!J$6)*5)/Statistics100!J$13))</f>
        <v>105.05867312647061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103.15487141220748</v>
      </c>
      <c r="T118" s="11">
        <f>IF(RZS_100[[#This Row],[名前]]="","",(100+((VLOOKUP(RZS_100[[#This Row],[No用]],Q_Stat[],26,FALSE)-Statistics100!M$6)*5)/Statistics100!M$13))</f>
        <v>102.02346925058825</v>
      </c>
      <c r="U118" s="11">
        <f>IF(RZS_100[[#This Row],[名前]]="","",(100+((VLOOKUP(RZS_100[[#This Row],[No用]],Q_Stat[],27,FALSE)-Statistics100!N$6)*5)/Statistics100!N$13))</f>
        <v>101.4453351789916</v>
      </c>
      <c r="V118" s="11">
        <f>IF(RZS_100[[#This Row],[名前]]="","",(100+((VLOOKUP(RZS_100[[#This Row],[No用]],Q_Stat[],28,FALSE)-Statistics100!O$6)*5)/Statistics100!O$13))</f>
        <v>108.99319666928109</v>
      </c>
      <c r="W118" s="11">
        <f>IF(RZS_100[[#This Row],[名前]]="","",(100+((VLOOKUP(RZS_100[[#This Row],[No用]],Q_Stat[],29,FALSE)-Statistics100!P$6)*5)/Statistics100!P$13))</f>
        <v>101.92711357198881</v>
      </c>
      <c r="X118" s="11">
        <f>IF(RZS_100[[#This Row],[名前]]="","",(100+((VLOOKUP(RZS_100[[#This Row],[No用]],Q_Stat[],30,FALSE)-Statistics100!Q$6)*5)/Statistics100!Q$13))</f>
        <v>100.67448975019609</v>
      </c>
    </row>
    <row r="119" spans="1:24" x14ac:dyDescent="0.35">
      <c r="A119">
        <f>IFERROR(Stat[[#This Row],[No.]],"")</f>
        <v>118</v>
      </c>
      <c r="B119" t="str">
        <f>IFERROR(Stat[[#This Row],[服装]],"")</f>
        <v>雪遊び</v>
      </c>
      <c r="C119" t="str">
        <f>IFERROR(Stat[[#This Row],[名前]],"")</f>
        <v>古牧譲</v>
      </c>
      <c r="D119" t="str">
        <f>IFERROR(Stat[[#This Row],[じゃんけん]],"")</f>
        <v>パー</v>
      </c>
      <c r="E119" t="str">
        <f>IFERROR(Stat[[#This Row],[ポジション]],"")</f>
        <v>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雪遊び古牧譲ICONIC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103.37244875098041</v>
      </c>
      <c r="K119" s="11">
        <f>IF(RZS_100[[#This Row],[名前]]="","",(100+((VLOOKUP(RZS_100[[#This Row],[No用]],Q_Stat[],15,FALSE)-Statistics100!D$6)*5)/Statistics100!D$13))</f>
        <v>112.3656454202615</v>
      </c>
      <c r="L119" s="11">
        <f>IF(RZS_100[[#This Row],[名前]]="","",(100+((VLOOKUP(RZS_100[[#This Row],[No用]],Q_Stat[],16,FALSE)-Statistics100!E$6)*5)/Statistics100!E$13))</f>
        <v>106.74489750196082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99.437925208169929</v>
      </c>
      <c r="O119" s="11">
        <f>IF(RZS_100[[#This Row],[名前]]="","",(100+((VLOOKUP(RZS_100[[#This Row],[No用]],Q_Stat[],19,FALSE)-Statistics100!H$6)*5)/Statistics100!H$13))</f>
        <v>100</v>
      </c>
      <c r="P119" s="11">
        <f>IF(RZS_100[[#This Row],[名前]]="","",(100+((VLOOKUP(RZS_100[[#This Row],[No用]],Q_Stat[],20,FALSE)-Statistics100!I$6)*5)/Statistics100!I$13))</f>
        <v>108.99319666928109</v>
      </c>
      <c r="Q119" s="11">
        <f>IF(RZS_100[[#This Row],[名前]]="","",(100+((VLOOKUP(RZS_100[[#This Row],[No用]],Q_Stat[],21,FALSE)-Statistics100!J$6)*5)/Statistics100!J$13))</f>
        <v>106.74489750196082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106.2009541550285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104.33600553697481</v>
      </c>
      <c r="V119" s="11">
        <f>IF(RZS_100[[#This Row],[名前]]="","",(100+((VLOOKUP(RZS_100[[#This Row],[No用]],Q_Stat[],28,FALSE)-Statistics100!O$6)*5)/Statistics100!O$13))</f>
        <v>112.3656454202615</v>
      </c>
      <c r="W119" s="11">
        <f>IF(RZS_100[[#This Row],[名前]]="","",(100+((VLOOKUP(RZS_100[[#This Row],[No用]],Q_Stat[],29,FALSE)-Statistics100!P$6)*5)/Statistics100!P$13))</f>
        <v>103.85422714397761</v>
      </c>
      <c r="X119" s="11">
        <f>IF(RZS_100[[#This Row],[名前]]="","",(100+((VLOOKUP(RZS_100[[#This Row],[No用]],Q_Stat[],30,FALSE)-Statistics100!Q$6)*5)/Statistics100!Q$13))</f>
        <v>102.02346925058825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浅虫快人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ユニフォーム浅虫快人ICONIC</v>
      </c>
      <c r="I120" s="11">
        <f>IF(RZS_100[[#This Row],[名前]]="","",(100+((VLOOKUP(RZS_100[[#This Row],[No用]],Q_Stat[],13,FALSE)-Statistics100!B$6)*5)/Statistics100!B$13))</f>
        <v>97.751700832679731</v>
      </c>
      <c r="J120" s="11">
        <f>IF(RZS_100[[#This Row],[名前]]="","",(100+((VLOOKUP(RZS_100[[#This Row],[No用]],Q_Stat[],14,FALSE)-Statistics100!C$6)*5)/Statistics100!C$13))</f>
        <v>97.591108035013988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93.255102498039179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99.437925208169929</v>
      </c>
      <c r="O120" s="11">
        <f>IF(RZS_100[[#This Row],[名前]]="","",(100+((VLOOKUP(RZS_100[[#This Row],[No用]],Q_Stat[],19,FALSE)-Statistics100!H$6)*5)/Statistics100!H$13))</f>
        <v>97.302040999215677</v>
      </c>
      <c r="P120" s="11">
        <f>IF(RZS_100[[#This Row],[名前]]="","",(100+((VLOOKUP(RZS_100[[#This Row],[No用]],Q_Stat[],20,FALSE)-Statistics100!I$6)*5)/Statistics100!I$13))</f>
        <v>100</v>
      </c>
      <c r="Q120" s="11">
        <f>IF(RZS_100[[#This Row],[名前]]="","",(100+((VLOOKUP(RZS_100[[#This Row],[No用]],Q_Stat[],21,FALSE)-Statistics100!J$6)*5)/Statistics100!J$13))</f>
        <v>100</v>
      </c>
      <c r="R120" s="11">
        <f>IF(RZS_100[[#This Row],[名前]]="","",(100+((VLOOKUP(RZS_100[[#This Row],[No用]],Q_Stat[],22,FALSE)-Statistics100!K$6)*5)/Statistics100!K$13))</f>
        <v>100</v>
      </c>
      <c r="S120" s="11">
        <f>IF(RZS_100[[#This Row],[名前]]="","",(100+((VLOOKUP(RZS_100[[#This Row],[No用]],Q_Stat[],25,FALSE)-Statistics100!L$6)*5)/Statistics100!L$13))</f>
        <v>95.757241893927869</v>
      </c>
      <c r="T120" s="11">
        <f>IF(RZS_100[[#This Row],[名前]]="","",(100+((VLOOKUP(RZS_100[[#This Row],[No用]],Q_Stat[],26,FALSE)-Statistics100!M$6)*5)/Statistics100!M$13))</f>
        <v>97.302040999215677</v>
      </c>
      <c r="U120" s="11">
        <f>IF(RZS_100[[#This Row],[名前]]="","",(100+((VLOOKUP(RZS_100[[#This Row],[No用]],Q_Stat[],27,FALSE)-Statistics100!N$6)*5)/Statistics100!N$13))</f>
        <v>95.66399446302519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98.072886428011188</v>
      </c>
      <c r="X120" s="11">
        <f>IF(RZS_100[[#This Row],[名前]]="","",(100+((VLOOKUP(RZS_100[[#This Row],[No用]],Q_Stat[],30,FALSE)-Statistics100!Q$6)*5)/Statistics100!Q$13))</f>
        <v>99.325510249803912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南田大志</v>
      </c>
      <c r="D121" t="str">
        <f>IFERROR(Stat[[#This Row],[じゃんけん]],"")</f>
        <v>グー</v>
      </c>
      <c r="E121" t="str">
        <f>IFERROR(Stat[[#This Row],[ポジション]],"")</f>
        <v>Li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ユニフォーム南田大志ICONIC</v>
      </c>
      <c r="I121" s="11">
        <f>IF(RZS_100[[#This Row],[名前]]="","",(100+((VLOOKUP(RZS_100[[#This Row],[No用]],Q_Stat[],13,FALSE)-Statistics100!B$6)*5)/Statistics100!B$13))</f>
        <v>93.255102498039179</v>
      </c>
      <c r="J121" s="11">
        <f>IF(RZS_100[[#This Row],[名前]]="","",(100+((VLOOKUP(RZS_100[[#This Row],[No用]],Q_Stat[],14,FALSE)-Statistics100!C$6)*5)/Statistics100!C$13))</f>
        <v>91.80976731904758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100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91.568878122548981</v>
      </c>
      <c r="O121" s="11">
        <f>IF(RZS_100[[#This Row],[名前]]="","",(100+((VLOOKUP(RZS_100[[#This Row],[No用]],Q_Stat[],19,FALSE)-Statistics100!H$6)*5)/Statistics100!H$13))</f>
        <v>106.74489750196082</v>
      </c>
      <c r="P121" s="11">
        <f>IF(RZS_100[[#This Row],[名前]]="","",(100+((VLOOKUP(RZS_100[[#This Row],[No用]],Q_Stat[],20,FALSE)-Statistics100!I$6)*5)/Statistics100!I$13))</f>
        <v>102.24829916732027</v>
      </c>
      <c r="Q121" s="11">
        <f>IF(RZS_100[[#This Row],[名前]]="","",(100+((VLOOKUP(RZS_100[[#This Row],[No用]],Q_Stat[],21,FALSE)-Statistics100!J$6)*5)/Statistics100!J$13))</f>
        <v>105.05867312647061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96.845128587792516</v>
      </c>
      <c r="T121" s="11">
        <f>IF(RZS_100[[#This Row],[名前]]="","",(100+((VLOOKUP(RZS_100[[#This Row],[No用]],Q_Stat[],26,FALSE)-Statistics100!M$6)*5)/Statistics100!M$13))</f>
        <v>95.953061498823502</v>
      </c>
      <c r="U121" s="11">
        <f>IF(RZS_100[[#This Row],[名前]]="","",(100+((VLOOKUP(RZS_100[[#This Row],[No用]],Q_Stat[],27,FALSE)-Statistics100!N$6)*5)/Statistics100!N$13))</f>
        <v>96.627551249019589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107.70845428795522</v>
      </c>
      <c r="X121" s="11">
        <f>IF(RZS_100[[#This Row],[名前]]="","",(100+((VLOOKUP(RZS_100[[#This Row],[No用]],Q_Stat[],30,FALSE)-Statistics100!Q$6)*5)/Statistics100!Q$13))</f>
        <v>95.278571748627428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湯川良明</v>
      </c>
      <c r="D122" t="str">
        <f>IFERROR(Stat[[#This Row],[じゃんけん]],"")</f>
        <v>グー</v>
      </c>
      <c r="E122" t="str">
        <f>IFERROR(Stat[[#This Row],[ポジション]],"")</f>
        <v>MB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ユニフォーム湯川良明ICONIC</v>
      </c>
      <c r="I122" s="11">
        <f>IF(RZS_100[[#This Row],[名前]]="","",(100+((VLOOKUP(RZS_100[[#This Row],[No用]],Q_Stat[],13,FALSE)-Statistics100!B$6)*5)/Statistics100!B$13))</f>
        <v>96.252834721132885</v>
      </c>
      <c r="J122" s="11">
        <f>IF(RZS_100[[#This Row],[名前]]="","",(100+((VLOOKUP(RZS_100[[#This Row],[No用]],Q_Stat[],14,FALSE)-Statistics100!C$6)*5)/Statistics100!C$13))</f>
        <v>97.591108035013988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102.81037395915034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97.751700832679731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94.669355200063222</v>
      </c>
      <c r="T122" s="11">
        <f>IF(RZS_100[[#This Row],[名前]]="","",(100+((VLOOKUP(RZS_100[[#This Row],[No用]],Q_Stat[],26,FALSE)-Statistics100!M$6)*5)/Statistics100!M$13))</f>
        <v>95.953061498823502</v>
      </c>
      <c r="U122" s="11">
        <f>IF(RZS_100[[#This Row],[名前]]="","",(100+((VLOOKUP(RZS_100[[#This Row],[No用]],Q_Stat[],27,FALSE)-Statistics100!N$6)*5)/Statistics100!N$13))</f>
        <v>97.109329642016789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100.67448975019609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稲垣功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ユニフォーム稲垣功ICONIC</v>
      </c>
      <c r="I123" s="11">
        <f>IF(RZS_100[[#This Row],[名前]]="","",(100+((VLOOKUP(RZS_100[[#This Row],[No用]],Q_Stat[],13,FALSE)-Statistics100!B$6)*5)/Statistics100!B$13))</f>
        <v>99.250566944226577</v>
      </c>
      <c r="J123" s="11">
        <f>IF(RZS_100[[#This Row],[名前]]="","",(100+((VLOOKUP(RZS_100[[#This Row],[No用]],Q_Stat[],14,FALSE)-Statistics100!C$6)*5)/Statistics100!C$13))</f>
        <v>98.554664821008402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93.255102498039179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97.18962604084966</v>
      </c>
      <c r="O123" s="11">
        <f>IF(RZS_100[[#This Row],[名前]]="","",(100+((VLOOKUP(RZS_100[[#This Row],[No用]],Q_Stat[],19,FALSE)-Statistics100!H$6)*5)/Statistics100!H$13))</f>
        <v>95.953061498823502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94.234200522517369</v>
      </c>
      <c r="T123" s="11">
        <f>IF(RZS_100[[#This Row],[名前]]="","",(100+((VLOOKUP(RZS_100[[#This Row],[No用]],Q_Stat[],26,FALSE)-Statistics100!M$6)*5)/Statistics100!M$13))</f>
        <v>98.651020499607839</v>
      </c>
      <c r="U123" s="11">
        <f>IF(RZS_100[[#This Row],[名前]]="","",(100+((VLOOKUP(RZS_100[[#This Row],[No用]],Q_Stat[],27,FALSE)-Statistics100!N$6)*5)/Statistics100!N$13))</f>
        <v>96.14577285602239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96.14577285602239</v>
      </c>
      <c r="X123" s="11">
        <f>IF(RZS_100[[#This Row],[名前]]="","",(100+((VLOOKUP(RZS_100[[#This Row],[No用]],Q_Stat[],30,FALSE)-Statistics100!Q$6)*5)/Statistics100!Q$13))</f>
        <v>97.302040999215677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馬門英治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ユニフォーム馬門英治ICONIC</v>
      </c>
      <c r="I124" s="11">
        <f>IF(RZS_100[[#This Row],[名前]]="","",(100+((VLOOKUP(RZS_100[[#This Row],[No用]],Q_Stat[],13,FALSE)-Statistics100!B$6)*5)/Statistics100!B$13))</f>
        <v>95.503401665359448</v>
      </c>
      <c r="J124" s="11">
        <f>IF(RZS_100[[#This Row],[名前]]="","",(100+((VLOOKUP(RZS_100[[#This Row],[No用]],Q_Stat[],14,FALSE)-Statistics100!C$6)*5)/Statistics100!C$13))</f>
        <v>96.627551249019589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102.81037395915034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94.451777861290296</v>
      </c>
      <c r="T124" s="11">
        <f>IF(RZS_100[[#This Row],[名前]]="","",(100+((VLOOKUP(RZS_100[[#This Row],[No用]],Q_Stat[],26,FALSE)-Statistics100!M$6)*5)/Statistics100!M$13))</f>
        <v>95.278571748627428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101.34897950039216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百沢雄大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ユニフォーム百沢雄大ICONIC</v>
      </c>
      <c r="I125" s="11">
        <f>IF(RZS_100[[#This Row],[名前]]="","",(100+((VLOOKUP(RZS_100[[#This Row],[No用]],Q_Stat[],13,FALSE)-Statistics100!B$6)*5)/Statistics100!B$13))</f>
        <v>98.501133888453154</v>
      </c>
      <c r="J125" s="11">
        <f>IF(RZS_100[[#This Row],[名前]]="","",(100+((VLOOKUP(RZS_100[[#This Row],[No用]],Q_Stat[],14,FALSE)-Statistics100!C$6)*5)/Statistics100!C$13))</f>
        <v>99.518221607002801</v>
      </c>
      <c r="K125" s="11">
        <f>IF(RZS_100[[#This Row],[名前]]="","",(100+((VLOOKUP(RZS_100[[#This Row],[No用]],Q_Stat[],15,FALSE)-Statistics100!D$6)*5)/Statistics100!D$13))</f>
        <v>101.12414958366014</v>
      </c>
      <c r="L125" s="11">
        <f>IF(RZS_100[[#This Row],[名前]]="","",(100+((VLOOKUP(RZS_100[[#This Row],[No用]],Q_Stat[],16,FALSE)-Statistics100!E$6)*5)/Statistics100!E$13))</f>
        <v>93.255102498039179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98.313775624509802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94.886932538836149</v>
      </c>
      <c r="T125" s="11">
        <f>IF(RZS_100[[#This Row],[名前]]="","",(100+((VLOOKUP(RZS_100[[#This Row],[No用]],Q_Stat[],26,FALSE)-Statistics100!M$6)*5)/Statistics100!M$13))</f>
        <v>97.976530749411751</v>
      </c>
      <c r="U125" s="11">
        <f>IF(RZS_100[[#This Row],[名前]]="","",(100+((VLOOKUP(RZS_100[[#This Row],[No用]],Q_Stat[],27,FALSE)-Statistics100!N$6)*5)/Statistics100!N$13))</f>
        <v>96.627551249019589</v>
      </c>
      <c r="V125" s="11">
        <f>IF(RZS_100[[#This Row],[名前]]="","",(100+((VLOOKUP(RZS_100[[#This Row],[No用]],Q_Stat[],28,FALSE)-Statistics100!O$6)*5)/Statistics100!O$13))</f>
        <v>101.12414958366014</v>
      </c>
      <c r="W125" s="11">
        <f>IF(RZS_100[[#This Row],[名前]]="","",(100+((VLOOKUP(RZS_100[[#This Row],[No用]],Q_Stat[],29,FALSE)-Statistics100!P$6)*5)/Statistics100!P$13))</f>
        <v>97.109329642016789</v>
      </c>
      <c r="X125" s="11">
        <f>IF(RZS_100[[#This Row],[名前]]="","",(100+((VLOOKUP(RZS_100[[#This Row],[No用]],Q_Stat[],30,FALSE)-Statistics100!Q$6)*5)/Statistics100!Q$13))</f>
        <v>97.976530749411751</v>
      </c>
    </row>
    <row r="126" spans="1:24" x14ac:dyDescent="0.35">
      <c r="A126">
        <f>IFERROR(Stat[[#This Row],[No.]],"")</f>
        <v>125</v>
      </c>
      <c r="B126" t="str">
        <f>IFERROR(Stat[[#This Row],[服装]],"")</f>
        <v>職業体験</v>
      </c>
      <c r="C126" t="str">
        <f>IFERROR(Stat[[#This Row],[名前]],"")</f>
        <v>百沢雄大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職業体験百沢雄大ICONIC</v>
      </c>
      <c r="I126" s="11">
        <f>IF(RZS_100[[#This Row],[名前]]="","",(100+((VLOOKUP(RZS_100[[#This Row],[No用]],Q_Stat[],13,FALSE)-Statistics100!B$6)*5)/Statistics100!B$13))</f>
        <v>100.74943305577342</v>
      </c>
      <c r="J126" s="11">
        <f>IF(RZS_100[[#This Row],[名前]]="","",(100+((VLOOKUP(RZS_100[[#This Row],[No用]],Q_Stat[],14,FALSE)-Statistics100!C$6)*5)/Statistics100!C$13))</f>
        <v>102.40889196498601</v>
      </c>
      <c r="K126" s="11">
        <f>IF(RZS_100[[#This Row],[名前]]="","",(100+((VLOOKUP(RZS_100[[#This Row],[No用]],Q_Stat[],15,FALSE)-Statistics100!D$6)*5)/Statistics100!D$13))</f>
        <v>102.24829916732027</v>
      </c>
      <c r="L126" s="11">
        <f>IF(RZS_100[[#This Row],[名前]]="","",(100+((VLOOKUP(RZS_100[[#This Row],[No用]],Q_Stat[],16,FALSE)-Statistics100!E$6)*5)/Statistics100!E$13))</f>
        <v>94.941326873529391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99.437925208169929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104.49659833464055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97.933015281657163</v>
      </c>
      <c r="T126" s="11">
        <f>IF(RZS_100[[#This Row],[名前]]="","",(100+((VLOOKUP(RZS_100[[#This Row],[No用]],Q_Stat[],26,FALSE)-Statistics100!M$6)*5)/Statistics100!M$13))</f>
        <v>100</v>
      </c>
      <c r="U126" s="11">
        <f>IF(RZS_100[[#This Row],[名前]]="","",(100+((VLOOKUP(RZS_100[[#This Row],[No用]],Q_Stat[],27,FALSE)-Statistics100!N$6)*5)/Statistics100!N$13))</f>
        <v>98.554664821008402</v>
      </c>
      <c r="V126" s="11">
        <f>IF(RZS_100[[#This Row],[名前]]="","",(100+((VLOOKUP(RZS_100[[#This Row],[No用]],Q_Stat[],28,FALSE)-Statistics100!O$6)*5)/Statistics100!O$13))</f>
        <v>102.24829916732027</v>
      </c>
      <c r="W126" s="11">
        <f>IF(RZS_100[[#This Row],[名前]]="","",(100+((VLOOKUP(RZS_100[[#This Row],[No用]],Q_Stat[],29,FALSE)-Statistics100!P$6)*5)/Statistics100!P$13))</f>
        <v>99.036443214005601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照島游児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ユニフォーム照島游児ICONIC</v>
      </c>
      <c r="I127" s="11">
        <f>IF(RZS_100[[#This Row],[名前]]="","",(100+((VLOOKUP(RZS_100[[#This Row],[No用]],Q_Stat[],13,FALSE)-Statistics100!B$6)*5)/Statistics100!B$13))</f>
        <v>100.74943305577342</v>
      </c>
      <c r="J127" s="11">
        <f>IF(RZS_100[[#This Row],[名前]]="","",(100+((VLOOKUP(RZS_100[[#This Row],[No用]],Q_Stat[],14,FALSE)-Statistics100!C$6)*5)/Statistics100!C$13))</f>
        <v>102.40889196498601</v>
      </c>
      <c r="K127" s="11">
        <f>IF(RZS_100[[#This Row],[名前]]="","",(100+((VLOOKUP(RZS_100[[#This Row],[No用]],Q_Stat[],15,FALSE)-Statistics100!D$6)*5)/Statistics100!D$13))</f>
        <v>100</v>
      </c>
      <c r="L127" s="11">
        <f>IF(RZS_100[[#This Row],[名前]]="","",(100+((VLOOKUP(RZS_100[[#This Row],[No用]],Q_Stat[],16,FALSE)-Statistics100!E$6)*5)/Statistics100!E$13))</f>
        <v>101.6862243754902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96.065476457189519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102.24829916732027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100.97909802447818</v>
      </c>
      <c r="T127" s="11">
        <f>IF(RZS_100[[#This Row],[名前]]="","",(100+((VLOOKUP(RZS_100[[#This Row],[No用]],Q_Stat[],26,FALSE)-Statistics100!M$6)*5)/Statistics100!M$13))</f>
        <v>102.69795900078432</v>
      </c>
      <c r="U127" s="11">
        <f>IF(RZS_100[[#This Row],[名前]]="","",(100+((VLOOKUP(RZS_100[[#This Row],[No用]],Q_Stat[],27,FALSE)-Statistics100!N$6)*5)/Statistics100!N$13))</f>
        <v>102.40889196498601</v>
      </c>
      <c r="V127" s="11">
        <f>IF(RZS_100[[#This Row],[名前]]="","",(100+((VLOOKUP(RZS_100[[#This Row],[No用]],Q_Stat[],28,FALSE)-Statistics100!O$6)*5)/Statistics100!O$13))</f>
        <v>100</v>
      </c>
      <c r="W127" s="11">
        <f>IF(RZS_100[[#This Row],[名前]]="","",(100+((VLOOKUP(RZS_100[[#This Row],[No用]],Q_Stat[],29,FALSE)-Statistics100!P$6)*5)/Statistics100!P$13))</f>
        <v>100.9635567859944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制服</v>
      </c>
      <c r="C128" t="str">
        <f>IFERROR(Stat[[#This Row],[名前]],"")</f>
        <v>照島游児</v>
      </c>
      <c r="D128" t="str">
        <f>IFERROR(Stat[[#This Row],[じゃんけん]],"")</f>
        <v>チョキ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制服照島游児ICONIC</v>
      </c>
      <c r="I128" s="11">
        <f>IF(RZS_100[[#This Row],[名前]]="","",(100+((VLOOKUP(RZS_100[[#This Row],[No用]],Q_Stat[],13,FALSE)-Statistics100!B$6)*5)/Statistics100!B$13))</f>
        <v>102.99773222309369</v>
      </c>
      <c r="J128" s="11">
        <f>IF(RZS_100[[#This Row],[名前]]="","",(100+((VLOOKUP(RZS_100[[#This Row],[No用]],Q_Stat[],14,FALSE)-Statistics100!C$6)*5)/Statistics100!C$13))</f>
        <v>105.29956232296922</v>
      </c>
      <c r="K128" s="11">
        <f>IF(RZS_100[[#This Row],[名前]]="","",(100+((VLOOKUP(RZS_100[[#This Row],[No用]],Q_Stat[],15,FALSE)-Statistics100!D$6)*5)/Statistics100!D$13))</f>
        <v>101.12414958366014</v>
      </c>
      <c r="L128" s="11">
        <f>IF(RZS_100[[#This Row],[名前]]="","",(100+((VLOOKUP(RZS_100[[#This Row],[No用]],Q_Stat[],16,FALSE)-Statistics100!E$6)*5)/Statistics100!E$13))</f>
        <v>103.37244875098041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97.18962604084966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108.99319666928109</v>
      </c>
      <c r="Q128" s="11">
        <f>IF(RZS_100[[#This Row],[名前]]="","",(100+((VLOOKUP(RZS_100[[#This Row],[No用]],Q_Stat[],21,FALSE)-Statistics100!J$6)*5)/Statistics100!J$13))</f>
        <v>106.74489750196082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104.0251807672992</v>
      </c>
      <c r="T128" s="11">
        <f>IF(RZS_100[[#This Row],[名前]]="","",(100+((VLOOKUP(RZS_100[[#This Row],[No用]],Q_Stat[],26,FALSE)-Statistics100!M$6)*5)/Statistics100!M$13))</f>
        <v>104.72142825137257</v>
      </c>
      <c r="U128" s="11">
        <f>IF(RZS_100[[#This Row],[名前]]="","",(100+((VLOOKUP(RZS_100[[#This Row],[No用]],Q_Stat[],27,FALSE)-Statistics100!N$6)*5)/Statistics100!N$13))</f>
        <v>104.33600553697481</v>
      </c>
      <c r="V128" s="11">
        <f>IF(RZS_100[[#This Row],[名前]]="","",(100+((VLOOKUP(RZS_100[[#This Row],[No用]],Q_Stat[],28,FALSE)-Statistics100!O$6)*5)/Statistics100!O$13))</f>
        <v>101.12414958366014</v>
      </c>
      <c r="W128" s="11">
        <f>IF(RZS_100[[#This Row],[名前]]="","",(100+((VLOOKUP(RZS_100[[#This Row],[No用]],Q_Stat[],29,FALSE)-Statistics100!P$6)*5)/Statistics100!P$13))</f>
        <v>102.89067035798321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雪遊び</v>
      </c>
      <c r="C129" t="str">
        <f>IFERROR(Stat[[#This Row],[名前]],"")</f>
        <v>照島游児</v>
      </c>
      <c r="D129" t="str">
        <f>IFERROR(Stat[[#This Row],[じゃんけん]],"")</f>
        <v>グー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雪遊び照島游児ICONIC</v>
      </c>
      <c r="I129" s="11">
        <f>IF(RZS_100[[#This Row],[名前]]="","",(100+((VLOOKUP(RZS_100[[#This Row],[No用]],Q_Stat[],13,FALSE)-Statistics100!B$6)*5)/Statistics100!B$13))</f>
        <v>105.24603139041398</v>
      </c>
      <c r="J129" s="11">
        <f>IF(RZS_100[[#This Row],[名前]]="","",(100+((VLOOKUP(RZS_100[[#This Row],[No用]],Q_Stat[],14,FALSE)-Statistics100!C$6)*5)/Statistics100!C$13))</f>
        <v>102.40889196498601</v>
      </c>
      <c r="K129" s="11">
        <f>IF(RZS_100[[#This Row],[名前]]="","",(100+((VLOOKUP(RZS_100[[#This Row],[No用]],Q_Stat[],15,FALSE)-Statistics100!D$6)*5)/Statistics100!D$13))</f>
        <v>101.12414958366014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98.313775624509802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113.48979500392164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104.0251807672992</v>
      </c>
      <c r="T129" s="11">
        <f>IF(RZS_100[[#This Row],[名前]]="","",(100+((VLOOKUP(RZS_100[[#This Row],[No用]],Q_Stat[],26,FALSE)-Statistics100!M$6)*5)/Statistics100!M$13))</f>
        <v>106.74489750196082</v>
      </c>
      <c r="U129" s="11">
        <f>IF(RZS_100[[#This Row],[名前]]="","",(100+((VLOOKUP(RZS_100[[#This Row],[No用]],Q_Stat[],27,FALSE)-Statistics100!N$6)*5)/Statistics100!N$13))</f>
        <v>101.4453351789916</v>
      </c>
      <c r="V129" s="11">
        <f>IF(RZS_100[[#This Row],[名前]]="","",(100+((VLOOKUP(RZS_100[[#This Row],[No用]],Q_Stat[],28,FALSE)-Statistics100!O$6)*5)/Statistics100!O$13))</f>
        <v>101.12414958366014</v>
      </c>
      <c r="W129" s="11">
        <f>IF(RZS_100[[#This Row],[名前]]="","",(100+((VLOOKUP(RZS_100[[#This Row],[No用]],Q_Stat[],29,FALSE)-Statistics100!P$6)*5)/Statistics100!P$13))</f>
        <v>102.89067035798321</v>
      </c>
      <c r="X129" s="11">
        <f>IF(RZS_100[[#This Row],[名前]]="","",(100+((VLOOKUP(RZS_100[[#This Row],[No用]],Q_Stat[],30,FALSE)-Statistics100!Q$6)*5)/Statistics100!Q$13))</f>
        <v>102.69795900078432</v>
      </c>
    </row>
    <row r="130" spans="1:24" x14ac:dyDescent="0.35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母畑和馬</v>
      </c>
      <c r="D130" t="str">
        <f>IFERROR(Stat[[#This Row],[じゃんけん]],"")</f>
        <v>パー</v>
      </c>
      <c r="E130" t="str">
        <f>IFERROR(Stat[[#This Row],[ポジション]],"")</f>
        <v>MB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ユニフォーム母畑和馬ICONIC</v>
      </c>
      <c r="I130" s="11">
        <f>IF(RZS_100[[#This Row],[名前]]="","",(100+((VLOOKUP(RZS_100[[#This Row],[No用]],Q_Stat[],13,FALSE)-Statistics100!B$6)*5)/Statistics100!B$13))</f>
        <v>97.002267776906308</v>
      </c>
      <c r="J130" s="11">
        <f>IF(RZS_100[[#This Row],[名前]]="","",(100+((VLOOKUP(RZS_100[[#This Row],[No用]],Q_Stat[],14,FALSE)-Statistics100!C$6)*5)/Statistics100!C$13))</f>
        <v>96.627551249019589</v>
      </c>
      <c r="K130" s="11">
        <f>IF(RZS_100[[#This Row],[名前]]="","",(100+((VLOOKUP(RZS_100[[#This Row],[No用]],Q_Stat[],15,FALSE)-Statistics100!D$6)*5)/Statistics100!D$13))</f>
        <v>97.751700832679731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103.93452354281048</v>
      </c>
      <c r="O130" s="11">
        <f>IF(RZS_100[[#This Row],[名前]]="","",(100+((VLOOKUP(RZS_100[[#This Row],[No用]],Q_Stat[],19,FALSE)-Statistics100!H$6)*5)/Statistics100!H$13))</f>
        <v>97.302040999215677</v>
      </c>
      <c r="P130" s="11">
        <f>IF(RZS_100[[#This Row],[名前]]="","",(100+((VLOOKUP(RZS_100[[#This Row],[No用]],Q_Stat[],20,FALSE)-Statistics100!I$6)*5)/Statistics100!I$13))</f>
        <v>100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97.49786060411131</v>
      </c>
      <c r="T130" s="11">
        <f>IF(RZS_100[[#This Row],[名前]]="","",(100+((VLOOKUP(RZS_100[[#This Row],[No用]],Q_Stat[],26,FALSE)-Statistics100!M$6)*5)/Statistics100!M$13))</f>
        <v>96.627551249019589</v>
      </c>
      <c r="U130" s="11">
        <f>IF(RZS_100[[#This Row],[名前]]="","",(100+((VLOOKUP(RZS_100[[#This Row],[No用]],Q_Stat[],27,FALSE)-Statistics100!N$6)*5)/Statistics100!N$13))</f>
        <v>96.627551249019589</v>
      </c>
      <c r="V130" s="11">
        <f>IF(RZS_100[[#This Row],[名前]]="","",(100+((VLOOKUP(RZS_100[[#This Row],[No用]],Q_Stat[],28,FALSE)-Statistics100!O$6)*5)/Statistics100!O$13))</f>
        <v>97.751700832679731</v>
      </c>
      <c r="W130" s="11">
        <f>IF(RZS_100[[#This Row],[名前]]="","",(100+((VLOOKUP(RZS_100[[#This Row],[No用]],Q_Stat[],29,FALSE)-Statistics100!P$6)*5)/Statistics100!P$13))</f>
        <v>98.072886428011188</v>
      </c>
      <c r="X130" s="11">
        <f>IF(RZS_100[[#This Row],[名前]]="","",(100+((VLOOKUP(RZS_100[[#This Row],[No用]],Q_Stat[],30,FALSE)-Statistics100!Q$6)*5)/Statistics100!Q$13))</f>
        <v>102.02346925058825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二岐丈晴</v>
      </c>
      <c r="D131" t="str">
        <f>IFERROR(Stat[[#This Row],[じゃんけん]],"")</f>
        <v>グー</v>
      </c>
      <c r="E131" t="str">
        <f>IFERROR(Stat[[#This Row],[ポジション]],"")</f>
        <v>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ユニフォーム二岐丈晴ICONIC</v>
      </c>
      <c r="I131" s="11">
        <f>IF(RZS_100[[#This Row],[名前]]="","",(100+((VLOOKUP(RZS_100[[#This Row],[No用]],Q_Stat[],13,FALSE)-Statistics100!B$6)*5)/Statistics100!B$13))</f>
        <v>95.503401665359448</v>
      </c>
      <c r="J131" s="11">
        <f>IF(RZS_100[[#This Row],[名前]]="","",(100+((VLOOKUP(RZS_100[[#This Row],[No用]],Q_Stat[],14,FALSE)-Statistics100!C$6)*5)/Statistics100!C$13))</f>
        <v>95.66399446302519</v>
      </c>
      <c r="K131" s="11">
        <f>IF(RZS_100[[#This Row],[名前]]="","",(100+((VLOOKUP(RZS_100[[#This Row],[No用]],Q_Stat[],15,FALSE)-Statistics100!D$6)*5)/Statistics100!D$13))</f>
        <v>106.74489750196082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99.437925208169929</v>
      </c>
      <c r="O131" s="11">
        <f>IF(RZS_100[[#This Row],[名前]]="","",(100+((VLOOKUP(RZS_100[[#This Row],[No用]],Q_Stat[],19,FALSE)-Statistics100!H$6)*5)/Statistics100!H$13))</f>
        <v>95.953061498823502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100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97.280283265338383</v>
      </c>
      <c r="T131" s="11">
        <f>IF(RZS_100[[#This Row],[名前]]="","",(100+((VLOOKUP(RZS_100[[#This Row],[No用]],Q_Stat[],26,FALSE)-Statistics100!M$6)*5)/Statistics100!M$13))</f>
        <v>95.278571748627428</v>
      </c>
      <c r="U131" s="11">
        <f>IF(RZS_100[[#This Row],[名前]]="","",(100+((VLOOKUP(RZS_100[[#This Row],[No用]],Q_Stat[],27,FALSE)-Statistics100!N$6)*5)/Statistics100!N$13))</f>
        <v>96.14577285602239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98.651020499607839</v>
      </c>
    </row>
    <row r="132" spans="1:24" x14ac:dyDescent="0.35">
      <c r="A132">
        <f>IFERROR(Stat[[#This Row],[No.]],"")</f>
        <v>131</v>
      </c>
      <c r="B132" t="str">
        <f>IFERROR(Stat[[#This Row],[服装]],"")</f>
        <v>制服</v>
      </c>
      <c r="C132" t="str">
        <f>IFERROR(Stat[[#This Row],[名前]],"")</f>
        <v>二岐丈晴</v>
      </c>
      <c r="D132" t="str">
        <f>IFERROR(Stat[[#This Row],[じゃんけん]],"")</f>
        <v>パー</v>
      </c>
      <c r="E132" t="str">
        <f>IFERROR(Stat[[#This Row],[ポジション]],"")</f>
        <v>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制服二岐丈晴ICONIC</v>
      </c>
      <c r="I132" s="11">
        <f>IF(RZS_100[[#This Row],[名前]]="","",(100+((VLOOKUP(RZS_100[[#This Row],[No用]],Q_Stat[],13,FALSE)-Statistics100!B$6)*5)/Statistics100!B$13))</f>
        <v>96.252834721132885</v>
      </c>
      <c r="J132" s="11">
        <f>IF(RZS_100[[#This Row],[名前]]="","",(100+((VLOOKUP(RZS_100[[#This Row],[No用]],Q_Stat[],14,FALSE)-Statistics100!C$6)*5)/Statistics100!C$13))</f>
        <v>98.554664821008402</v>
      </c>
      <c r="K132" s="11">
        <f>IF(RZS_100[[#This Row],[名前]]="","",(100+((VLOOKUP(RZS_100[[#This Row],[No用]],Q_Stat[],15,FALSE)-Statistics100!D$6)*5)/Statistics100!D$13))</f>
        <v>110.11734625294123</v>
      </c>
      <c r="L132" s="11">
        <f>IF(RZS_100[[#This Row],[名前]]="","",(100+((VLOOKUP(RZS_100[[#This Row],[No用]],Q_Stat[],16,FALSE)-Statistics100!E$6)*5)/Statistics100!E$13))</f>
        <v>103.37244875098041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100.56207479183007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101.6862243754902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100.3263660081594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99.036443214005601</v>
      </c>
      <c r="V132" s="11">
        <f>IF(RZS_100[[#This Row],[名前]]="","",(100+((VLOOKUP(RZS_100[[#This Row],[No用]],Q_Stat[],28,FALSE)-Statistics100!O$6)*5)/Statistics100!O$13))</f>
        <v>110.11734625294123</v>
      </c>
      <c r="W132" s="11">
        <f>IF(RZS_100[[#This Row],[名前]]="","",(100+((VLOOKUP(RZS_100[[#This Row],[No用]],Q_Stat[],29,FALSE)-Statistics100!P$6)*5)/Statistics100!P$13))</f>
        <v>99.036443214005601</v>
      </c>
      <c r="X132" s="11">
        <f>IF(RZS_100[[#This Row],[名前]]="","",(100+((VLOOKUP(RZS_100[[#This Row],[No用]],Q_Stat[],30,FALSE)-Statistics100!Q$6)*5)/Statistics100!Q$13))</f>
        <v>100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沼尻凛太郎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ユニフォーム沼尻凛太郎ICONIC</v>
      </c>
      <c r="I133" s="11">
        <f>IF(RZS_100[[#This Row],[名前]]="","",(100+((VLOOKUP(RZS_100[[#This Row],[No用]],Q_Stat[],13,FALSE)-Statistics100!B$6)*5)/Statistics100!B$13))</f>
        <v>99.250566944226577</v>
      </c>
      <c r="J133" s="11">
        <f>IF(RZS_100[[#This Row],[名前]]="","",(100+((VLOOKUP(RZS_100[[#This Row],[No用]],Q_Stat[],14,FALSE)-Statistics100!C$6)*5)/Statistics100!C$13))</f>
        <v>100.4817783929972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94.941326873529391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97.18962604084966</v>
      </c>
      <c r="O133" s="11">
        <f>IF(RZS_100[[#This Row],[名前]]="","",(100+((VLOOKUP(RZS_100[[#This Row],[No用]],Q_Stat[],19,FALSE)-Statistics100!H$6)*5)/Statistics100!H$13))</f>
        <v>97.302040999215677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98.313775624509802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97.062705926565457</v>
      </c>
      <c r="T133" s="11">
        <f>IF(RZS_100[[#This Row],[名前]]="","",(100+((VLOOKUP(RZS_100[[#This Row],[No用]],Q_Stat[],26,FALSE)-Statistics100!M$6)*5)/Statistics100!M$13))</f>
        <v>98.651020499607839</v>
      </c>
      <c r="U133" s="11">
        <f>IF(RZS_100[[#This Row],[名前]]="","",(100+((VLOOKUP(RZS_100[[#This Row],[No用]],Q_Stat[],27,FALSE)-Statistics100!N$6)*5)/Statistics100!N$13))</f>
        <v>97.591108035013988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97.109329642016789</v>
      </c>
      <c r="X133" s="11">
        <f>IF(RZS_100[[#This Row],[名前]]="","",(100+((VLOOKUP(RZS_100[[#This Row],[No用]],Q_Stat[],30,FALSE)-Statistics100!Q$6)*5)/Statistics100!Q$13))</f>
        <v>97.302040999215677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飯坂信義</v>
      </c>
      <c r="D134" t="str">
        <f>IFERROR(Stat[[#This Row],[じゃんけん]],"")</f>
        <v>パー</v>
      </c>
      <c r="E134" t="str">
        <f>IFERROR(Stat[[#This Row],[ポジション]],"")</f>
        <v>MB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ユニフォーム飯坂信義ICONIC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96.627551249019589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93.255102498039179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103.93452354281048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96.627551249019589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95.182216070027991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98.072886428011188</v>
      </c>
      <c r="X134" s="11">
        <f>IF(RZS_100[[#This Row],[名前]]="","",(100+((VLOOKUP(RZS_100[[#This Row],[No用]],Q_Stat[],30,FALSE)-Statistics100!Q$6)*5)/Statistics100!Q$13))</f>
        <v>101.34897950039216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東山勝道</v>
      </c>
      <c r="D135" t="str">
        <f>IFERROR(Stat[[#This Row],[じゃんけん]],"")</f>
        <v>パー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ユニフォーム東山勝道ICONIC</v>
      </c>
      <c r="I135" s="11">
        <f>IF(RZS_100[[#This Row],[名前]]="","",(100+((VLOOKUP(RZS_100[[#This Row],[No用]],Q_Stat[],13,FALSE)-Statistics100!B$6)*5)/Statistics100!B$13))</f>
        <v>97.751700832679731</v>
      </c>
      <c r="J135" s="11">
        <f>IF(RZS_100[[#This Row],[名前]]="","",(100+((VLOOKUP(RZS_100[[#This Row],[No用]],Q_Stat[],14,FALSE)-Statistics100!C$6)*5)/Statistics100!C$13))</f>
        <v>99.518221607002801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97.18962604084966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106.74489750196082</v>
      </c>
      <c r="Q135" s="11">
        <f>IF(RZS_100[[#This Row],[名前]]="","",(100+((VLOOKUP(RZS_100[[#This Row],[No用]],Q_Stat[],21,FALSE)-Statistics100!J$6)*5)/Statistics100!J$13))</f>
        <v>105.05867312647061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98.585747297975956</v>
      </c>
      <c r="T135" s="11">
        <f>IF(RZS_100[[#This Row],[名前]]="","",(100+((VLOOKUP(RZS_100[[#This Row],[No用]],Q_Stat[],26,FALSE)-Statistics100!M$6)*5)/Statistics100!M$13))</f>
        <v>97.302040999215677</v>
      </c>
      <c r="U135" s="11">
        <f>IF(RZS_100[[#This Row],[名前]]="","",(100+((VLOOKUP(RZS_100[[#This Row],[No用]],Q_Stat[],27,FALSE)-Statistics100!N$6)*5)/Statistics100!N$13))</f>
        <v>98.072886428011188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100.9635567859944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土湯新</v>
      </c>
      <c r="D136" t="str">
        <f>IFERROR(Stat[[#This Row],[じゃんけん]],"")</f>
        <v>パー</v>
      </c>
      <c r="E136" t="str">
        <f>IFERROR(Stat[[#This Row],[ポジション]],"")</f>
        <v>Li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ユニフォーム土湯新ICONIC</v>
      </c>
      <c r="I136" s="11">
        <f>IF(RZS_100[[#This Row],[名前]]="","",(100+((VLOOKUP(RZS_100[[#This Row],[No用]],Q_Stat[],13,FALSE)-Statistics100!B$6)*5)/Statistics100!B$13))</f>
        <v>93.255102498039179</v>
      </c>
      <c r="J136" s="11">
        <f>IF(RZS_100[[#This Row],[名前]]="","",(100+((VLOOKUP(RZS_100[[#This Row],[No用]],Q_Stat[],14,FALSE)-Statistics100!C$6)*5)/Statistics100!C$13))</f>
        <v>91.80976731904758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98.313775624509802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91.568878122548981</v>
      </c>
      <c r="O136" s="11">
        <f>IF(RZS_100[[#This Row],[名前]]="","",(100+((VLOOKUP(RZS_100[[#This Row],[No用]],Q_Stat[],19,FALSE)-Statistics100!H$6)*5)/Statistics100!H$13))</f>
        <v>104.0469385011765</v>
      </c>
      <c r="P136" s="11">
        <f>IF(RZS_100[[#This Row],[名前]]="","",(100+((VLOOKUP(RZS_100[[#This Row],[No用]],Q_Stat[],20,FALSE)-Statistics100!I$6)*5)/Statistics100!I$13))</f>
        <v>104.49659833464055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96.409973910246663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96.14577285602239</v>
      </c>
      <c r="V136" s="11">
        <f>IF(RZS_100[[#This Row],[名前]]="","",(100+((VLOOKUP(RZS_100[[#This Row],[No用]],Q_Stat[],28,FALSE)-Statistics100!O$6)*5)/Statistics100!O$13))</f>
        <v>100</v>
      </c>
      <c r="W136" s="11">
        <f>IF(RZS_100[[#This Row],[名前]]="","",(100+((VLOOKUP(RZS_100[[#This Row],[No用]],Q_Stat[],29,FALSE)-Statistics100!P$6)*5)/Statistics100!P$13))</f>
        <v>105.78134071596642</v>
      </c>
      <c r="X136" s="11">
        <f>IF(RZS_100[[#This Row],[名前]]="","",(100+((VLOOKUP(RZS_100[[#This Row],[No用]],Q_Stat[],30,FALSE)-Statistics100!Q$6)*5)/Statistics100!Q$13))</f>
        <v>95.953061498823502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中島猛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ユニフォーム中島猛ICONIC</v>
      </c>
      <c r="I137" s="11">
        <f>IF(RZS_100[[#This Row],[名前]]="","",(100+((VLOOKUP(RZS_100[[#This Row],[No用]],Q_Stat[],13,FALSE)-Statistics100!B$6)*5)/Statistics100!B$13))</f>
        <v>101.49886611154685</v>
      </c>
      <c r="J137" s="11">
        <f>IF(RZS_100[[#This Row],[名前]]="","",(100+((VLOOKUP(RZS_100[[#This Row],[No用]],Q_Stat[],14,FALSE)-Statistics100!C$6)*5)/Statistics100!C$13))</f>
        <v>102.40889196498601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100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97.18962604084966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100.76152068570525</v>
      </c>
      <c r="T137" s="11">
        <f>IF(RZS_100[[#This Row],[名前]]="","",(100+((VLOOKUP(RZS_100[[#This Row],[No用]],Q_Stat[],26,FALSE)-Statistics100!M$6)*5)/Statistics100!M$13))</f>
        <v>100.67448975019609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101.92711357198881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白石優希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ユニフォーム白石優希ICONIC</v>
      </c>
      <c r="I138" s="11">
        <f>IF(RZS_100[[#This Row],[名前]]="","",(100+((VLOOKUP(RZS_100[[#This Row],[No用]],Q_Stat[],13,FALSE)-Statistics100!B$6)*5)/Statistics100!B$13))</f>
        <v>98.501133888453154</v>
      </c>
      <c r="J138" s="11">
        <f>IF(RZS_100[[#This Row],[名前]]="","",(100+((VLOOKUP(RZS_100[[#This Row],[No用]],Q_Stat[],14,FALSE)-Statistics100!C$6)*5)/Statistics100!C$13))</f>
        <v>97.591108035013988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93.255102498039179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94.941326873529391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95.503401665359448</v>
      </c>
      <c r="Q138" s="11">
        <f>IF(RZS_100[[#This Row],[名前]]="","",(100+((VLOOKUP(RZS_100[[#This Row],[No用]],Q_Stat[],21,FALSE)-Statistics100!J$6)*5)/Statistics100!J$13))</f>
        <v>98.313775624509802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93.146313828652723</v>
      </c>
      <c r="T138" s="11">
        <f>IF(RZS_100[[#This Row],[名前]]="","",(100+((VLOOKUP(RZS_100[[#This Row],[No用]],Q_Stat[],26,FALSE)-Statistics100!M$6)*5)/Statistics100!M$13))</f>
        <v>97.976530749411751</v>
      </c>
      <c r="U138" s="11">
        <f>IF(RZS_100[[#This Row],[名前]]="","",(100+((VLOOKUP(RZS_100[[#This Row],[No用]],Q_Stat[],27,FALSE)-Statistics100!N$6)*5)/Statistics100!N$13))</f>
        <v>95.66399446302519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97.109329642016789</v>
      </c>
      <c r="X138" s="11">
        <f>IF(RZS_100[[#This Row],[名前]]="","",(100+((VLOOKUP(RZS_100[[#This Row],[No用]],Q_Stat[],30,FALSE)-Statistics100!Q$6)*5)/Statistics100!Q$13))</f>
        <v>95.278571748627428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花山一雅</v>
      </c>
      <c r="D139" t="str">
        <f>IFERROR(Stat[[#This Row],[じゃんけん]],"")</f>
        <v>チョキ</v>
      </c>
      <c r="E139" t="str">
        <f>IFERROR(Stat[[#This Row],[ポジション]],"")</f>
        <v>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ユニフォーム花山一雅ICONIC</v>
      </c>
      <c r="I139" s="11">
        <f>IF(RZS_100[[#This Row],[名前]]="","",(100+((VLOOKUP(RZS_100[[#This Row],[No用]],Q_Stat[],13,FALSE)-Statistics100!B$6)*5)/Statistics100!B$13))</f>
        <v>98.501133888453154</v>
      </c>
      <c r="J139" s="11">
        <f>IF(RZS_100[[#This Row],[名前]]="","",(100+((VLOOKUP(RZS_100[[#This Row],[No用]],Q_Stat[],14,FALSE)-Statistics100!C$6)*5)/Statistics100!C$13))</f>
        <v>102.40889196498601</v>
      </c>
      <c r="K139" s="11">
        <f>IF(RZS_100[[#This Row],[名前]]="","",(100+((VLOOKUP(RZS_100[[#This Row],[No用]],Q_Stat[],15,FALSE)-Statistics100!D$6)*5)/Statistics100!D$13))</f>
        <v>108.99319666928109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101.6862243754902</v>
      </c>
      <c r="O139" s="11">
        <f>IF(RZS_100[[#This Row],[名前]]="","",(100+((VLOOKUP(RZS_100[[#This Row],[No用]],Q_Stat[],19,FALSE)-Statistics100!H$6)*5)/Statistics100!H$13))</f>
        <v>102.69795900078432</v>
      </c>
      <c r="P139" s="11">
        <f>IF(RZS_100[[#This Row],[名前]]="","",(100+((VLOOKUP(RZS_100[[#This Row],[No用]],Q_Stat[],20,FALSE)-Statistics100!I$6)*5)/Statistics100!I$13))</f>
        <v>102.24829916732027</v>
      </c>
      <c r="Q139" s="11">
        <f>IF(RZS_100[[#This Row],[名前]]="","",(100+((VLOOKUP(RZS_100[[#This Row],[No用]],Q_Stat[],21,FALSE)-Statistics100!J$6)*5)/Statistics100!J$13))</f>
        <v>101.6862243754902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102.50213939588869</v>
      </c>
      <c r="T139" s="11">
        <f>IF(RZS_100[[#This Row],[名前]]="","",(100+((VLOOKUP(RZS_100[[#This Row],[No用]],Q_Stat[],26,FALSE)-Statistics100!M$6)*5)/Statistics100!M$13))</f>
        <v>97.976530749411751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108.99319666928109</v>
      </c>
      <c r="W139" s="11">
        <f>IF(RZS_100[[#This Row],[名前]]="","",(100+((VLOOKUP(RZS_100[[#This Row],[No用]],Q_Stat[],29,FALSE)-Statistics100!P$6)*5)/Statistics100!P$13))</f>
        <v>102.89067035798321</v>
      </c>
      <c r="X139" s="11">
        <f>IF(RZS_100[[#This Row],[名前]]="","",(100+((VLOOKUP(RZS_100[[#This Row],[No用]],Q_Stat[],30,FALSE)-Statistics100!Q$6)*5)/Statistics100!Q$13))</f>
        <v>101.34897950039216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鳴子哲平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ユニフォーム鳴子哲平ICONIC</v>
      </c>
      <c r="I140" s="11">
        <f>IF(RZS_100[[#This Row],[名前]]="","",(100+((VLOOKUP(RZS_100[[#This Row],[No用]],Q_Stat[],13,FALSE)-Statistics100!B$6)*5)/Statistics100!B$13))</f>
        <v>94.753968609586025</v>
      </c>
      <c r="J140" s="11">
        <f>IF(RZS_100[[#This Row],[名前]]="","",(100+((VLOOKUP(RZS_100[[#This Row],[No用]],Q_Stat[],14,FALSE)-Statistics100!C$6)*5)/Statistics100!C$13))</f>
        <v>95.66399446302519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93.255102498039179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103.93452354281048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97.751700832679731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93.799045844971502</v>
      </c>
      <c r="T140" s="11">
        <f>IF(RZS_100[[#This Row],[名前]]="","",(100+((VLOOKUP(RZS_100[[#This Row],[No用]],Q_Stat[],26,FALSE)-Statistics100!M$6)*5)/Statistics100!M$13))</f>
        <v>94.60408199843134</v>
      </c>
      <c r="U140" s="11">
        <f>IF(RZS_100[[#This Row],[名前]]="","",(100+((VLOOKUP(RZS_100[[#This Row],[No用]],Q_Stat[],27,FALSE)-Statistics100!N$6)*5)/Statistics100!N$13))</f>
        <v>94.700437677030777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98.072886428011188</v>
      </c>
      <c r="X140" s="11">
        <f>IF(RZS_100[[#This Row],[名前]]="","",(100+((VLOOKUP(RZS_100[[#This Row],[No用]],Q_Stat[],30,FALSE)-Statistics100!Q$6)*5)/Statistics100!Q$13))</f>
        <v>101.34897950039216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秋保和光</v>
      </c>
      <c r="D141" t="str">
        <f>IFERROR(Stat[[#This Row],[じゃんけん]],"")</f>
        <v>チョキ</v>
      </c>
      <c r="E141" t="str">
        <f>IFERROR(Stat[[#This Row],[ポジション]],"")</f>
        <v>Li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ユニフォーム秋保和光ICONIC</v>
      </c>
      <c r="I141" s="11">
        <f>IF(RZS_100[[#This Row],[名前]]="","",(100+((VLOOKUP(RZS_100[[#This Row],[No用]],Q_Stat[],13,FALSE)-Statistics100!B$6)*5)/Statistics100!B$13))</f>
        <v>93.255102498039179</v>
      </c>
      <c r="J141" s="11">
        <f>IF(RZS_100[[#This Row],[名前]]="","",(100+((VLOOKUP(RZS_100[[#This Row],[No用]],Q_Stat[],14,FALSE)-Statistics100!C$6)*5)/Statistics100!C$13))</f>
        <v>91.80976731904758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91.568878122548981</v>
      </c>
      <c r="O141" s="11">
        <f>IF(RZS_100[[#This Row],[名前]]="","",(100+((VLOOKUP(RZS_100[[#This Row],[No用]],Q_Stat[],19,FALSE)-Statistics100!H$6)*5)/Statistics100!H$13))</f>
        <v>105.39591800156866</v>
      </c>
      <c r="P141" s="11">
        <f>IF(RZS_100[[#This Row],[名前]]="","",(100+((VLOOKUP(RZS_100[[#This Row],[No用]],Q_Stat[],20,FALSE)-Statistics100!I$6)*5)/Statistics100!I$13))</f>
        <v>104.49659833464055</v>
      </c>
      <c r="Q141" s="11">
        <f>IF(RZS_100[[#This Row],[名前]]="","",(100+((VLOOKUP(RZS_100[[#This Row],[No用]],Q_Stat[],21,FALSE)-Statistics100!J$6)*5)/Statistics100!J$13))</f>
        <v>105.05867312647061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96.627551249019589</v>
      </c>
      <c r="T141" s="11">
        <f>IF(RZS_100[[#This Row],[名前]]="","",(100+((VLOOKUP(RZS_100[[#This Row],[No用]],Q_Stat[],26,FALSE)-Statistics100!M$6)*5)/Statistics100!M$13))</f>
        <v>95.953061498823502</v>
      </c>
      <c r="U141" s="11">
        <f>IF(RZS_100[[#This Row],[名前]]="","",(100+((VLOOKUP(RZS_100[[#This Row],[No用]],Q_Stat[],27,FALSE)-Statistics100!N$6)*5)/Statistics100!N$13))</f>
        <v>96.14577285602239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106.74489750196082</v>
      </c>
      <c r="X141" s="11">
        <f>IF(RZS_100[[#This Row],[名前]]="","",(100+((VLOOKUP(RZS_100[[#This Row],[No用]],Q_Stat[],30,FALSE)-Statistics100!Q$6)*5)/Statistics100!Q$13))</f>
        <v>95.953061498823502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松島剛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ユニフォーム松島剛ICONIC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96.627551249019589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94.941326873529391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103.93452354281048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97.751700832679731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94.669355200063222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95.66399446302519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100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川渡瞬己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ユニフォーム川渡瞬己ICONIC</v>
      </c>
      <c r="I143" s="11">
        <f>IF(RZS_100[[#This Row],[名前]]="","",(100+((VLOOKUP(RZS_100[[#This Row],[No用]],Q_Stat[],13,FALSE)-Statistics100!B$6)*5)/Statistics100!B$13))</f>
        <v>100</v>
      </c>
      <c r="J143" s="11">
        <f>IF(RZS_100[[#This Row],[名前]]="","",(100+((VLOOKUP(RZS_100[[#This Row],[No用]],Q_Stat[],14,FALSE)-Statistics100!C$6)*5)/Statistics100!C$13))</f>
        <v>99.518221607002801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98.313775624509802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102.24829916732027</v>
      </c>
      <c r="Q143" s="11">
        <f>IF(RZS_100[[#This Row],[名前]]="","",(100+((VLOOKUP(RZS_100[[#This Row],[No用]],Q_Stat[],21,FALSE)-Statistics100!J$6)*5)/Statistics100!J$13))</f>
        <v>101.6862243754902</v>
      </c>
      <c r="R143" s="11">
        <f>IF(RZS_100[[#This Row],[名前]]="","",(100+((VLOOKUP(RZS_100[[#This Row],[No用]],Q_Stat[],22,FALSE)-Statistics100!K$6)*5)/Statistics100!K$13))</f>
        <v>100</v>
      </c>
      <c r="S143" s="11">
        <f>IF(RZS_100[[#This Row],[名前]]="","",(100+((VLOOKUP(RZS_100[[#This Row],[No用]],Q_Stat[],25,FALSE)-Statistics100!L$6)*5)/Statistics100!L$13))</f>
        <v>98.803324636748883</v>
      </c>
      <c r="T143" s="11">
        <f>IF(RZS_100[[#This Row],[名前]]="","",(100+((VLOOKUP(RZS_100[[#This Row],[No用]],Q_Stat[],26,FALSE)-Statistics100!M$6)*5)/Statistics100!M$13))</f>
        <v>102.02346925058825</v>
      </c>
      <c r="U143" s="11">
        <f>IF(RZS_100[[#This Row],[名前]]="","",(100+((VLOOKUP(RZS_100[[#This Row],[No用]],Q_Stat[],27,FALSE)-Statistics100!N$6)*5)/Statistics100!N$13))</f>
        <v>100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100</v>
      </c>
      <c r="X143" s="11">
        <f>IF(RZS_100[[#This Row],[名前]]="","",(100+((VLOOKUP(RZS_100[[#This Row],[No用]],Q_Stat[],30,FALSE)-Statistics100!Q$6)*5)/Statistics100!Q$13))</f>
        <v>99.325510249803912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牛島若利</v>
      </c>
      <c r="D144" t="str">
        <f>IFERROR(Stat[[#This Row],[じゃんけん]],"")</f>
        <v>グー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ユニフォーム牛島若利ICONIC</v>
      </c>
      <c r="I144" s="11">
        <f>IF(RZS_100[[#This Row],[名前]]="","",(100+((VLOOKUP(RZS_100[[#This Row],[No用]],Q_Stat[],13,FALSE)-Statistics100!B$6)*5)/Statistics100!B$13))</f>
        <v>106.74489750196082</v>
      </c>
      <c r="J144" s="11">
        <f>IF(RZS_100[[#This Row],[名前]]="","",(100+((VLOOKUP(RZS_100[[#This Row],[No用]],Q_Stat[],14,FALSE)-Statistics100!C$6)*5)/Statistics100!C$13))</f>
        <v>111.08090303893563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98.313775624509802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106.74489750196082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105.98337681625557</v>
      </c>
      <c r="T144" s="11">
        <f>IF(RZS_100[[#This Row],[名前]]="","",(100+((VLOOKUP(RZS_100[[#This Row],[No用]],Q_Stat[],26,FALSE)-Statistics100!M$6)*5)/Statistics100!M$13))</f>
        <v>108.09387700235298</v>
      </c>
      <c r="U144" s="11">
        <f>IF(RZS_100[[#This Row],[名前]]="","",(100+((VLOOKUP(RZS_100[[#This Row],[No用]],Q_Stat[],27,FALSE)-Statistics100!N$6)*5)/Statistics100!N$13))</f>
        <v>107.22667589495802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101.92711357198881</v>
      </c>
      <c r="X144" s="11">
        <f>IF(RZS_100[[#This Row],[名前]]="","",(100+((VLOOKUP(RZS_100[[#This Row],[No用]],Q_Stat[],30,FALSE)-Statistics100!Q$6)*5)/Statistics100!Q$13))</f>
        <v>100.67448975019609</v>
      </c>
    </row>
    <row r="145" spans="1:24" x14ac:dyDescent="0.35">
      <c r="A145">
        <f>IFERROR(Stat[[#This Row],[No.]],"")</f>
        <v>144</v>
      </c>
      <c r="B145" t="str">
        <f>IFERROR(Stat[[#This Row],[服装]],"")</f>
        <v>水着</v>
      </c>
      <c r="C145" t="str">
        <f>IFERROR(Stat[[#This Row],[名前]],"")</f>
        <v>牛島若利</v>
      </c>
      <c r="D145" t="str">
        <f>IFERROR(Stat[[#This Row],[じゃんけん]],"")</f>
        <v>パー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水着牛島若利ICONIC</v>
      </c>
      <c r="I145" s="11">
        <f>IF(RZS_100[[#This Row],[名前]]="","",(100+((VLOOKUP(RZS_100[[#This Row],[No用]],Q_Stat[],13,FALSE)-Statistics100!B$6)*5)/Statistics100!B$13))</f>
        <v>108.99319666928109</v>
      </c>
      <c r="J145" s="11">
        <f>IF(RZS_100[[#This Row],[名前]]="","",(100+((VLOOKUP(RZS_100[[#This Row],[No用]],Q_Stat[],14,FALSE)-Statistics100!C$6)*5)/Statistics100!C$13))</f>
        <v>113.97157339691884</v>
      </c>
      <c r="K145" s="11">
        <f>IF(RZS_100[[#This Row],[名前]]="","",(100+((VLOOKUP(RZS_100[[#This Row],[No用]],Q_Stat[],15,FALSE)-Statistics100!D$6)*5)/Statistics100!D$13))</f>
        <v>101.12414958366014</v>
      </c>
      <c r="L145" s="11">
        <f>IF(RZS_100[[#This Row],[名前]]="","",(100+((VLOOKUP(RZS_100[[#This Row],[No用]],Q_Stat[],16,FALSE)-Statistics100!E$6)*5)/Statistics100!E$13))</f>
        <v>105.05867312647061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99.437925208169929</v>
      </c>
      <c r="O145" s="11">
        <f>IF(RZS_100[[#This Row],[名前]]="","",(100+((VLOOKUP(RZS_100[[#This Row],[No用]],Q_Stat[],19,FALSE)-Statistics100!H$6)*5)/Statistics100!H$13))</f>
        <v>100</v>
      </c>
      <c r="P145" s="11">
        <f>IF(RZS_100[[#This Row],[名前]]="","",(100+((VLOOKUP(RZS_100[[#This Row],[No用]],Q_Stat[],20,FALSE)-Statistics100!I$6)*5)/Statistics100!I$13))</f>
        <v>113.48979500392164</v>
      </c>
      <c r="Q145" s="11">
        <f>IF(RZS_100[[#This Row],[名前]]="","",(100+((VLOOKUP(RZS_100[[#This Row],[No用]],Q_Stat[],21,FALSE)-Statistics100!J$6)*5)/Statistics100!J$13))</f>
        <v>106.74489750196082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109.02945955907659</v>
      </c>
      <c r="T145" s="11">
        <f>IF(RZS_100[[#This Row],[名前]]="","",(100+((VLOOKUP(RZS_100[[#This Row],[No用]],Q_Stat[],26,FALSE)-Statistics100!M$6)*5)/Statistics100!M$13))</f>
        <v>110.11734625294123</v>
      </c>
      <c r="U145" s="11">
        <f>IF(RZS_100[[#This Row],[名前]]="","",(100+((VLOOKUP(RZS_100[[#This Row],[No用]],Q_Stat[],27,FALSE)-Statistics100!N$6)*5)/Statistics100!N$13))</f>
        <v>109.15378946694682</v>
      </c>
      <c r="V145" s="11">
        <f>IF(RZS_100[[#This Row],[名前]]="","",(100+((VLOOKUP(RZS_100[[#This Row],[No用]],Q_Stat[],28,FALSE)-Statistics100!O$6)*5)/Statistics100!O$13))</f>
        <v>101.12414958366014</v>
      </c>
      <c r="W145" s="11">
        <f>IF(RZS_100[[#This Row],[名前]]="","",(100+((VLOOKUP(RZS_100[[#This Row],[No用]],Q_Stat[],29,FALSE)-Statistics100!P$6)*5)/Statistics100!P$13))</f>
        <v>103.85422714397761</v>
      </c>
      <c r="X145" s="11">
        <f>IF(RZS_100[[#This Row],[名前]]="","",(100+((VLOOKUP(RZS_100[[#This Row],[No用]],Q_Stat[],30,FALSE)-Statistics100!Q$6)*5)/Statistics100!Q$13))</f>
        <v>103.37244875098041</v>
      </c>
    </row>
    <row r="146" spans="1:24" x14ac:dyDescent="0.35">
      <c r="A146">
        <f>IFERROR(Stat[[#This Row],[No.]],"")</f>
        <v>145</v>
      </c>
      <c r="B146" t="str">
        <f>IFERROR(Stat[[#This Row],[服装]],"")</f>
        <v>新年</v>
      </c>
      <c r="C146" t="str">
        <f>IFERROR(Stat[[#This Row],[名前]],"")</f>
        <v>牛島若利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新年牛島若利ICONIC</v>
      </c>
      <c r="I146" s="11">
        <f>IF(RZS_100[[#This Row],[名前]]="","",(100+((VLOOKUP(RZS_100[[#This Row],[No用]],Q_Stat[],13,FALSE)-Statistics100!B$6)*5)/Statistics100!B$13))</f>
        <v>111.24149583660136</v>
      </c>
      <c r="J146" s="11">
        <f>IF(RZS_100[[#This Row],[名前]]="","",(100+((VLOOKUP(RZS_100[[#This Row],[No用]],Q_Stat[],14,FALSE)-Statistics100!C$6)*5)/Statistics100!C$13))</f>
        <v>115.89868696890764</v>
      </c>
      <c r="K146" s="11">
        <f>IF(RZS_100[[#This Row],[名前]]="","",(100+((VLOOKUP(RZS_100[[#This Row],[No用]],Q_Stat[],15,FALSE)-Statistics100!D$6)*5)/Statistics100!D$13))</f>
        <v>101.12414958366014</v>
      </c>
      <c r="L146" s="11">
        <f>IF(RZS_100[[#This Row],[名前]]="","",(100+((VLOOKUP(RZS_100[[#This Row],[No用]],Q_Stat[],16,FALSE)-Statistics100!E$6)*5)/Statistics100!E$13))</f>
        <v>106.74489750196082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97.18962604084966</v>
      </c>
      <c r="O146" s="11">
        <f>IF(RZS_100[[#This Row],[名前]]="","",(100+((VLOOKUP(RZS_100[[#This Row],[No用]],Q_Stat[],19,FALSE)-Statistics100!H$6)*5)/Statistics100!H$13))</f>
        <v>97.302040999215677</v>
      </c>
      <c r="P146" s="11">
        <f>IF(RZS_100[[#This Row],[名前]]="","",(100+((VLOOKUP(RZS_100[[#This Row],[No用]],Q_Stat[],20,FALSE)-Statistics100!I$6)*5)/Statistics100!I$13))</f>
        <v>111.24149583660136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109.02945955907659</v>
      </c>
      <c r="T146" s="11">
        <f>IF(RZS_100[[#This Row],[名前]]="","",(100+((VLOOKUP(RZS_100[[#This Row],[No用]],Q_Stat[],26,FALSE)-Statistics100!M$6)*5)/Statistics100!M$13))</f>
        <v>112.14081550352947</v>
      </c>
      <c r="U146" s="11">
        <f>IF(RZS_100[[#This Row],[名前]]="","",(100+((VLOOKUP(RZS_100[[#This Row],[No用]],Q_Stat[],27,FALSE)-Statistics100!N$6)*5)/Statistics100!N$13))</f>
        <v>110.59912464593843</v>
      </c>
      <c r="V146" s="11">
        <f>IF(RZS_100[[#This Row],[名前]]="","",(100+((VLOOKUP(RZS_100[[#This Row],[No用]],Q_Stat[],28,FALSE)-Statistics100!O$6)*5)/Statistics100!O$13))</f>
        <v>101.12414958366014</v>
      </c>
      <c r="W146" s="11">
        <f>IF(RZS_100[[#This Row],[名前]]="","",(100+((VLOOKUP(RZS_100[[#This Row],[No用]],Q_Stat[],29,FALSE)-Statistics100!P$6)*5)/Statistics100!P$13))</f>
        <v>100.9635567859944</v>
      </c>
      <c r="X146" s="11">
        <f>IF(RZS_100[[#This Row],[名前]]="","",(100+((VLOOKUP(RZS_100[[#This Row],[No用]],Q_Stat[],30,FALSE)-Statistics100!Q$6)*5)/Statistics100!Q$13))</f>
        <v>101.34897950039216</v>
      </c>
    </row>
    <row r="147" spans="1:24" x14ac:dyDescent="0.35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天童覚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ユニフォーム天童覚ICONIC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101.4453351789916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108.43112187745102</v>
      </c>
      <c r="O147" s="11">
        <f>IF(RZS_100[[#This Row],[名前]]="","",(100+((VLOOKUP(RZS_100[[#This Row],[No用]],Q_Stat[],19,FALSE)-Statistics100!H$6)*5)/Statistics100!H$13))</f>
        <v>97.302040999215677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98.36816995920303</v>
      </c>
      <c r="T147" s="11">
        <f>IF(RZS_100[[#This Row],[名前]]="","",(100+((VLOOKUP(RZS_100[[#This Row],[No用]],Q_Stat[],26,FALSE)-Statistics100!M$6)*5)/Statistics100!M$13))</f>
        <v>100.67448975019609</v>
      </c>
      <c r="U147" s="11">
        <f>IF(RZS_100[[#This Row],[名前]]="","",(100+((VLOOKUP(RZS_100[[#This Row],[No用]],Q_Stat[],27,FALSE)-Statistics100!N$6)*5)/Statistics100!N$13))</f>
        <v>99.518221607002801</v>
      </c>
      <c r="V147" s="11">
        <f>IF(RZS_100[[#This Row],[名前]]="","",(100+((VLOOKUP(RZS_100[[#This Row],[No用]],Q_Stat[],28,FALSE)-Statistics100!O$6)*5)/Statistics100!O$13))</f>
        <v>98.875850416339858</v>
      </c>
      <c r="W147" s="11">
        <f>IF(RZS_100[[#This Row],[名前]]="","",(100+((VLOOKUP(RZS_100[[#This Row],[No用]],Q_Stat[],29,FALSE)-Statistics100!P$6)*5)/Statistics100!P$13))</f>
        <v>98.072886428011188</v>
      </c>
      <c r="X147" s="11">
        <f>IF(RZS_100[[#This Row],[名前]]="","",(100+((VLOOKUP(RZS_100[[#This Row],[No用]],Q_Stat[],30,FALSE)-Statistics100!Q$6)*5)/Statistics100!Q$13))</f>
        <v>104.72142825137257</v>
      </c>
    </row>
    <row r="148" spans="1:24" x14ac:dyDescent="0.35">
      <c r="A148">
        <f>IFERROR(Stat[[#This Row],[No.]],"")</f>
        <v>147</v>
      </c>
      <c r="B148" t="str">
        <f>IFERROR(Stat[[#This Row],[服装]],"")</f>
        <v>水着</v>
      </c>
      <c r="C148" t="str">
        <f>IFERROR(Stat[[#This Row],[名前]],"")</f>
        <v>天童覚</v>
      </c>
      <c r="D148" t="str">
        <f>IFERROR(Stat[[#This Row],[じゃんけん]],"")</f>
        <v>パー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水着天童覚ICONIC</v>
      </c>
      <c r="I148" s="11">
        <f>IF(RZS_100[[#This Row],[名前]]="","",(100+((VLOOKUP(RZS_100[[#This Row],[No用]],Q_Stat[],13,FALSE)-Statistics100!B$6)*5)/Statistics100!B$13))</f>
        <v>103.74716527886712</v>
      </c>
      <c r="J148" s="11">
        <f>IF(RZS_100[[#This Row],[名前]]="","",(100+((VLOOKUP(RZS_100[[#This Row],[No用]],Q_Stat[],14,FALSE)-Statistics100!C$6)*5)/Statistics100!C$13))</f>
        <v>102.40889196498601</v>
      </c>
      <c r="K148" s="11">
        <f>IF(RZS_100[[#This Row],[名前]]="","",(100+((VLOOKUP(RZS_100[[#This Row],[No用]],Q_Stat[],15,FALSE)-Statistics100!D$6)*5)/Statistics100!D$13))</f>
        <v>100</v>
      </c>
      <c r="L148" s="11">
        <f>IF(RZS_100[[#This Row],[名前]]="","",(100+((VLOOKUP(RZS_100[[#This Row],[No用]],Q_Stat[],16,FALSE)-Statistics100!E$6)*5)/Statistics100!E$13))</f>
        <v>101.6862243754902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111.80357062843143</v>
      </c>
      <c r="O148" s="11">
        <f>IF(RZS_100[[#This Row],[名前]]="","",(100+((VLOOKUP(RZS_100[[#This Row],[No用]],Q_Stat[],19,FALSE)-Statistics100!H$6)*5)/Statistics100!H$13))</f>
        <v>98.651020499607839</v>
      </c>
      <c r="P148" s="11">
        <f>IF(RZS_100[[#This Row],[名前]]="","",(100+((VLOOKUP(RZS_100[[#This Row],[No用]],Q_Stat[],20,FALSE)-Statistics100!I$6)*5)/Statistics100!I$13))</f>
        <v>106.74489750196082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94.60408199843134</v>
      </c>
      <c r="S148" s="11">
        <f>IF(RZS_100[[#This Row],[名前]]="","",(100+((VLOOKUP(RZS_100[[#This Row],[No用]],Q_Stat[],25,FALSE)-Statistics100!L$6)*5)/Statistics100!L$13))</f>
        <v>101.41425270202404</v>
      </c>
      <c r="T148" s="11">
        <f>IF(RZS_100[[#This Row],[名前]]="","",(100+((VLOOKUP(RZS_100[[#This Row],[No用]],Q_Stat[],26,FALSE)-Statistics100!M$6)*5)/Statistics100!M$13))</f>
        <v>102.69795900078432</v>
      </c>
      <c r="U148" s="11">
        <f>IF(RZS_100[[#This Row],[名前]]="","",(100+((VLOOKUP(RZS_100[[#This Row],[No用]],Q_Stat[],27,FALSE)-Statistics100!N$6)*5)/Statistics100!N$13))</f>
        <v>100.4817783929972</v>
      </c>
      <c r="V148" s="11">
        <f>IF(RZS_100[[#This Row],[名前]]="","",(100+((VLOOKUP(RZS_100[[#This Row],[No用]],Q_Stat[],28,FALSE)-Statistics100!O$6)*5)/Statistics100!O$13))</f>
        <v>100</v>
      </c>
      <c r="W148" s="11">
        <f>IF(RZS_100[[#This Row],[名前]]="","",(100+((VLOOKUP(RZS_100[[#This Row],[No用]],Q_Stat[],29,FALSE)-Statistics100!P$6)*5)/Statistics100!P$13))</f>
        <v>100</v>
      </c>
      <c r="X148" s="11">
        <f>IF(RZS_100[[#This Row],[名前]]="","",(100+((VLOOKUP(RZS_100[[#This Row],[No用]],Q_Stat[],30,FALSE)-Statistics100!Q$6)*5)/Statistics100!Q$13))</f>
        <v>108.76836675254907</v>
      </c>
    </row>
    <row r="149" spans="1:24" x14ac:dyDescent="0.35">
      <c r="A149">
        <f>IFERROR(Stat[[#This Row],[No.]],"")</f>
        <v>148</v>
      </c>
      <c r="B149" t="str">
        <f>IFERROR(Stat[[#This Row],[服装]],"")</f>
        <v>文化祭</v>
      </c>
      <c r="C149" t="str">
        <f>IFERROR(Stat[[#This Row],[名前]],"")</f>
        <v>天童覚</v>
      </c>
      <c r="D149" t="str">
        <f>IFERROR(Stat[[#This Row],[じゃんけん]],"")</f>
        <v>チョキ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文化祭天童覚ICONIC</v>
      </c>
      <c r="I149" s="11">
        <f>IF(RZS_100[[#This Row],[名前]]="","",(100+((VLOOKUP(RZS_100[[#This Row],[No用]],Q_Stat[],13,FALSE)-Statistics100!B$6)*5)/Statistics100!B$13))</f>
        <v>104.49659833464055</v>
      </c>
      <c r="J149" s="11">
        <f>IF(RZS_100[[#This Row],[名前]]="","",(100+((VLOOKUP(RZS_100[[#This Row],[No用]],Q_Stat[],14,FALSE)-Statistics100!C$6)*5)/Statistics100!C$13))</f>
        <v>100.4817783929972</v>
      </c>
      <c r="K149" s="11">
        <f>IF(RZS_100[[#This Row],[名前]]="","",(100+((VLOOKUP(RZS_100[[#This Row],[No用]],Q_Stat[],15,FALSE)-Statistics100!D$6)*5)/Statistics100!D$13))</f>
        <v>100</v>
      </c>
      <c r="L149" s="11">
        <f>IF(RZS_100[[#This Row],[名前]]="","",(100+((VLOOKUP(RZS_100[[#This Row],[No用]],Q_Stat[],16,FALSE)-Statistics100!E$6)*5)/Statistics100!E$13))</f>
        <v>98.313775624509802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114.05186979575171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111.24149583660136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101.41425270202404</v>
      </c>
      <c r="T149" s="11">
        <f>IF(RZS_100[[#This Row],[名前]]="","",(100+((VLOOKUP(RZS_100[[#This Row],[No用]],Q_Stat[],26,FALSE)-Statistics100!M$6)*5)/Statistics100!M$13))</f>
        <v>103.37244875098041</v>
      </c>
      <c r="U149" s="11">
        <f>IF(RZS_100[[#This Row],[名前]]="","",(100+((VLOOKUP(RZS_100[[#This Row],[No用]],Q_Stat[],27,FALSE)-Statistics100!N$6)*5)/Statistics100!N$13))</f>
        <v>98.554664821008402</v>
      </c>
      <c r="V149" s="11">
        <f>IF(RZS_100[[#This Row],[名前]]="","",(100+((VLOOKUP(RZS_100[[#This Row],[No用]],Q_Stat[],28,FALSE)-Statistics100!O$6)*5)/Statistics100!O$13))</f>
        <v>100</v>
      </c>
      <c r="W149" s="11">
        <f>IF(RZS_100[[#This Row],[名前]]="","",(100+((VLOOKUP(RZS_100[[#This Row],[No用]],Q_Stat[],29,FALSE)-Statistics100!P$6)*5)/Statistics100!P$13))</f>
        <v>99.036443214005601</v>
      </c>
      <c r="X149" s="11">
        <f>IF(RZS_100[[#This Row],[名前]]="","",(100+((VLOOKUP(RZS_100[[#This Row],[No用]],Q_Stat[],30,FALSE)-Statistics100!Q$6)*5)/Statistics100!Q$13))</f>
        <v>111.46632575333339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五色工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ユニフォーム五色工ICONIC</v>
      </c>
      <c r="I150" s="11">
        <f>IF(RZS_100[[#This Row],[名前]]="","",(100+((VLOOKUP(RZS_100[[#This Row],[No用]],Q_Stat[],13,FALSE)-Statistics100!B$6)*5)/Statistics100!B$13))</f>
        <v>101.49886611154685</v>
      </c>
      <c r="J150" s="11">
        <f>IF(RZS_100[[#This Row],[名前]]="","",(100+((VLOOKUP(RZS_100[[#This Row],[No用]],Q_Stat[],14,FALSE)-Statistics100!C$6)*5)/Statistics100!C$13))</f>
        <v>101.4453351789916</v>
      </c>
      <c r="K150" s="11">
        <f>IF(RZS_100[[#This Row],[名前]]="","",(100+((VLOOKUP(RZS_100[[#This Row],[No用]],Q_Stat[],15,FALSE)-Statistics100!D$6)*5)/Statistics100!D$13))</f>
        <v>104.49659833464055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100.56207479183007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108.99319666928109</v>
      </c>
      <c r="Q150" s="11">
        <f>IF(RZS_100[[#This Row],[名前]]="","",(100+((VLOOKUP(RZS_100[[#This Row],[No用]],Q_Stat[],21,FALSE)-Statistics100!J$6)*5)/Statistics100!J$13))</f>
        <v>106.74489750196082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103.37244875098041</v>
      </c>
      <c r="T150" s="11">
        <f>IF(RZS_100[[#This Row],[名前]]="","",(100+((VLOOKUP(RZS_100[[#This Row],[No用]],Q_Stat[],26,FALSE)-Statistics100!M$6)*5)/Statistics100!M$13))</f>
        <v>103.37244875098041</v>
      </c>
      <c r="U150" s="11">
        <f>IF(RZS_100[[#This Row],[名前]]="","",(100+((VLOOKUP(RZS_100[[#This Row],[No用]],Q_Stat[],27,FALSE)-Statistics100!N$6)*5)/Statistics100!N$13))</f>
        <v>102.40889196498601</v>
      </c>
      <c r="V150" s="11">
        <f>IF(RZS_100[[#This Row],[名前]]="","",(100+((VLOOKUP(RZS_100[[#This Row],[No用]],Q_Stat[],28,FALSE)-Statistics100!O$6)*5)/Statistics100!O$13))</f>
        <v>104.49659833464055</v>
      </c>
      <c r="W150" s="11">
        <f>IF(RZS_100[[#This Row],[名前]]="","",(100+((VLOOKUP(RZS_100[[#This Row],[No用]],Q_Stat[],29,FALSE)-Statistics100!P$6)*5)/Statistics100!P$13))</f>
        <v>104.81778392997201</v>
      </c>
      <c r="X150" s="11">
        <f>IF(RZS_100[[#This Row],[名前]]="","",(100+((VLOOKUP(RZS_100[[#This Row],[No用]],Q_Stat[],30,FALSE)-Statistics100!Q$6)*5)/Statistics100!Q$13))</f>
        <v>102.69795900078432</v>
      </c>
    </row>
    <row r="151" spans="1:24" x14ac:dyDescent="0.35">
      <c r="A151">
        <f>IFERROR(Stat[[#This Row],[No.]],"")</f>
        <v>150</v>
      </c>
      <c r="B151" t="str">
        <f>IFERROR(Stat[[#This Row],[服装]],"")</f>
        <v>職業体験</v>
      </c>
      <c r="C151" t="str">
        <f>IFERROR(Stat[[#This Row],[名前]],"")</f>
        <v>五色工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職業体験五色工ICONIC</v>
      </c>
      <c r="I151" s="11">
        <f>IF(RZS_100[[#This Row],[名前]]="","",(100+((VLOOKUP(RZS_100[[#This Row],[No用]],Q_Stat[],13,FALSE)-Statistics100!B$6)*5)/Statistics100!B$13))</f>
        <v>103.74716527886712</v>
      </c>
      <c r="J151" s="11">
        <f>IF(RZS_100[[#This Row],[名前]]="","",(100+((VLOOKUP(RZS_100[[#This Row],[No用]],Q_Stat[],14,FALSE)-Statistics100!C$6)*5)/Statistics100!C$13))</f>
        <v>104.33600553697481</v>
      </c>
      <c r="K151" s="11">
        <f>IF(RZS_100[[#This Row],[名前]]="","",(100+((VLOOKUP(RZS_100[[#This Row],[No用]],Q_Stat[],15,FALSE)-Statistics100!D$6)*5)/Statistics100!D$13))</f>
        <v>105.62074791830068</v>
      </c>
      <c r="L151" s="11">
        <f>IF(RZS_100[[#This Row],[名前]]="","",(100+((VLOOKUP(RZS_100[[#This Row],[No用]],Q_Stat[],16,FALSE)-Statistics100!E$6)*5)/Statistics100!E$13))</f>
        <v>105.05867312647061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101.6862243754902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115.73809417124191</v>
      </c>
      <c r="Q151" s="11">
        <f>IF(RZS_100[[#This Row],[名前]]="","",(100+((VLOOKUP(RZS_100[[#This Row],[No用]],Q_Stat[],21,FALSE)-Statistics100!J$6)*5)/Statistics100!J$13))</f>
        <v>108.43112187745102</v>
      </c>
      <c r="R151" s="11">
        <f>IF(RZS_100[[#This Row],[名前]]="","",(100+((VLOOKUP(RZS_100[[#This Row],[No用]],Q_Stat[],22,FALSE)-Statistics100!K$6)*5)/Statistics100!K$13))</f>
        <v>103.37244875098041</v>
      </c>
      <c r="S151" s="11">
        <f>IF(RZS_100[[#This Row],[名前]]="","",(100+((VLOOKUP(RZS_100[[#This Row],[No用]],Q_Stat[],25,FALSE)-Statistics100!L$6)*5)/Statistics100!L$13))</f>
        <v>107.50641818766607</v>
      </c>
      <c r="T151" s="11">
        <f>IF(RZS_100[[#This Row],[名前]]="","",(100+((VLOOKUP(RZS_100[[#This Row],[No用]],Q_Stat[],26,FALSE)-Statistics100!M$6)*5)/Statistics100!M$13))</f>
        <v>105.39591800156866</v>
      </c>
      <c r="U151" s="11">
        <f>IF(RZS_100[[#This Row],[名前]]="","",(100+((VLOOKUP(RZS_100[[#This Row],[No用]],Q_Stat[],27,FALSE)-Statistics100!N$6)*5)/Statistics100!N$13))</f>
        <v>104.33600553697481</v>
      </c>
      <c r="V151" s="11">
        <f>IF(RZS_100[[#This Row],[名前]]="","",(100+((VLOOKUP(RZS_100[[#This Row],[No用]],Q_Stat[],28,FALSE)-Statistics100!O$6)*5)/Statistics100!O$13))</f>
        <v>105.62074791830068</v>
      </c>
      <c r="W151" s="11">
        <f>IF(RZS_100[[#This Row],[名前]]="","",(100+((VLOOKUP(RZS_100[[#This Row],[No用]],Q_Stat[],29,FALSE)-Statistics100!P$6)*5)/Statistics100!P$13))</f>
        <v>106.74489750196082</v>
      </c>
      <c r="X151" s="11">
        <f>IF(RZS_100[[#This Row],[名前]]="","",(100+((VLOOKUP(RZS_100[[#This Row],[No用]],Q_Stat[],30,FALSE)-Statistics100!Q$6)*5)/Statistics100!Q$13))</f>
        <v>105.39591800156866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白布賢二郎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ユニフォーム白布賢二郎ICONIC</v>
      </c>
      <c r="I152" s="11">
        <f>IF(RZS_100[[#This Row],[名前]]="","",(100+((VLOOKUP(RZS_100[[#This Row],[No用]],Q_Stat[],13,FALSE)-Statistics100!B$6)*5)/Statistics100!B$13))</f>
        <v>98.501133888453154</v>
      </c>
      <c r="J152" s="11">
        <f>IF(RZS_100[[#This Row],[名前]]="","",(100+((VLOOKUP(RZS_100[[#This Row],[No用]],Q_Stat[],14,FALSE)-Statistics100!C$6)*5)/Statistics100!C$13))</f>
        <v>101.4453351789916</v>
      </c>
      <c r="K152" s="11">
        <f>IF(RZS_100[[#This Row],[名前]]="","",(100+((VLOOKUP(RZS_100[[#This Row],[No用]],Q_Stat[],15,FALSE)-Statistics100!D$6)*5)/Statistics100!D$13))</f>
        <v>114.61394458758177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99.437925208169929</v>
      </c>
      <c r="O152" s="11">
        <f>IF(RZS_100[[#This Row],[名前]]="","",(100+((VLOOKUP(RZS_100[[#This Row],[No用]],Q_Stat[],19,FALSE)-Statistics100!H$6)*5)/Statistics100!H$13))</f>
        <v>100</v>
      </c>
      <c r="P152" s="11">
        <f>IF(RZS_100[[#This Row],[名前]]="","",(100+((VLOOKUP(RZS_100[[#This Row],[No用]],Q_Stat[],20,FALSE)-Statistics100!I$6)*5)/Statistics100!I$13))</f>
        <v>97.751700832679731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102.28456205711576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102.40889196498601</v>
      </c>
      <c r="V152" s="11">
        <f>IF(RZS_100[[#This Row],[名前]]="","",(100+((VLOOKUP(RZS_100[[#This Row],[No用]],Q_Stat[],28,FALSE)-Statistics100!O$6)*5)/Statistics100!O$13))</f>
        <v>114.61394458758177</v>
      </c>
      <c r="W152" s="11">
        <f>IF(RZS_100[[#This Row],[名前]]="","",(100+((VLOOKUP(RZS_100[[#This Row],[No用]],Q_Stat[],29,FALSE)-Statistics100!P$6)*5)/Statistics100!P$13))</f>
        <v>100.9635567859944</v>
      </c>
      <c r="X152" s="11">
        <f>IF(RZS_100[[#This Row],[名前]]="","",(100+((VLOOKUP(RZS_100[[#This Row],[No用]],Q_Stat[],30,FALSE)-Statistics100!Q$6)*5)/Statistics100!Q$13))</f>
        <v>98.651020499607839</v>
      </c>
    </row>
    <row r="153" spans="1:24" x14ac:dyDescent="0.35">
      <c r="A153">
        <f>IFERROR(Stat[[#This Row],[No.]],"")</f>
        <v>152</v>
      </c>
      <c r="B153" t="str">
        <f>IFERROR(Stat[[#This Row],[服装]],"")</f>
        <v>探偵</v>
      </c>
      <c r="C153" t="str">
        <f>IFERROR(Stat[[#This Row],[名前]],"")</f>
        <v>白布賢二郎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探偵白布賢二郎ICONIC</v>
      </c>
      <c r="I153" s="11">
        <f>IF(RZS_100[[#This Row],[名前]]="","",(100+((VLOOKUP(RZS_100[[#This Row],[No用]],Q_Stat[],13,FALSE)-Statistics100!B$6)*5)/Statistics100!B$13))</f>
        <v>99.250566944226577</v>
      </c>
      <c r="J153" s="11">
        <f>IF(RZS_100[[#This Row],[名前]]="","",(100+((VLOOKUP(RZS_100[[#This Row],[No用]],Q_Stat[],14,FALSE)-Statistics100!C$6)*5)/Statistics100!C$13))</f>
        <v>104.33600553697481</v>
      </c>
      <c r="K153" s="11">
        <f>IF(RZS_100[[#This Row],[名前]]="","",(100+((VLOOKUP(RZS_100[[#This Row],[No用]],Q_Stat[],15,FALSE)-Statistics100!D$6)*5)/Statistics100!D$13))</f>
        <v>117.98639333856218</v>
      </c>
      <c r="L153" s="11">
        <f>IF(RZS_100[[#This Row],[名前]]="","",(100+((VLOOKUP(RZS_100[[#This Row],[No用]],Q_Stat[],16,FALSE)-Statistics100!E$6)*5)/Statistics100!E$13))</f>
        <v>108.43112187745102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100.56207479183007</v>
      </c>
      <c r="O153" s="11">
        <f>IF(RZS_100[[#This Row],[名前]]="","",(100+((VLOOKUP(RZS_100[[#This Row],[No用]],Q_Stat[],19,FALSE)-Statistics100!H$6)*5)/Statistics100!H$13))</f>
        <v>101.34897950039216</v>
      </c>
      <c r="P153" s="11">
        <f>IF(RZS_100[[#This Row],[名前]]="","",(100+((VLOOKUP(RZS_100[[#This Row],[No用]],Q_Stat[],20,FALSE)-Statistics100!I$6)*5)/Statistics100!I$13))</f>
        <v>100</v>
      </c>
      <c r="Q153" s="11">
        <f>IF(RZS_100[[#This Row],[名前]]="","",(100+((VLOOKUP(RZS_100[[#This Row],[No用]],Q_Stat[],21,FALSE)-Statistics100!J$6)*5)/Statistics100!J$13))</f>
        <v>103.37244875098041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105.33064479993678</v>
      </c>
      <c r="T153" s="11">
        <f>IF(RZS_100[[#This Row],[名前]]="","",(100+((VLOOKUP(RZS_100[[#This Row],[No用]],Q_Stat[],26,FALSE)-Statistics100!M$6)*5)/Statistics100!M$13))</f>
        <v>101.34897950039216</v>
      </c>
      <c r="U153" s="11">
        <f>IF(RZS_100[[#This Row],[名前]]="","",(100+((VLOOKUP(RZS_100[[#This Row],[No用]],Q_Stat[],27,FALSE)-Statistics100!N$6)*5)/Statistics100!N$13))</f>
        <v>105.29956232296922</v>
      </c>
      <c r="V153" s="11">
        <f>IF(RZS_100[[#This Row],[名前]]="","",(100+((VLOOKUP(RZS_100[[#This Row],[No用]],Q_Stat[],28,FALSE)-Statistics100!O$6)*5)/Statistics100!O$13))</f>
        <v>117.98639333856218</v>
      </c>
      <c r="W153" s="11">
        <f>IF(RZS_100[[#This Row],[名前]]="","",(100+((VLOOKUP(RZS_100[[#This Row],[No用]],Q_Stat[],29,FALSE)-Statistics100!P$6)*5)/Statistics100!P$13))</f>
        <v>102.89067035798321</v>
      </c>
      <c r="X153" s="11">
        <f>IF(RZS_100[[#This Row],[名前]]="","",(100+((VLOOKUP(RZS_100[[#This Row],[No用]],Q_Stat[],30,FALSE)-Statistics100!Q$6)*5)/Statistics100!Q$13))</f>
        <v>100</v>
      </c>
    </row>
    <row r="154" spans="1:24" x14ac:dyDescent="0.35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大平獅音</v>
      </c>
      <c r="D154" t="str">
        <f>IFERROR(Stat[[#This Row],[じゃんけん]],"")</f>
        <v>グー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ユニフォーム大平獅音ICONIC</v>
      </c>
      <c r="I154" s="11">
        <f>IF(RZS_100[[#This Row],[名前]]="","",(100+((VLOOKUP(RZS_100[[#This Row],[No用]],Q_Stat[],13,FALSE)-Statistics100!B$6)*5)/Statistics100!B$13))</f>
        <v>101.49886611154685</v>
      </c>
      <c r="J154" s="11">
        <f>IF(RZS_100[[#This Row],[名前]]="","",(100+((VLOOKUP(RZS_100[[#This Row],[No用]],Q_Stat[],14,FALSE)-Statistics100!C$6)*5)/Statistics100!C$13))</f>
        <v>101.4453351789916</v>
      </c>
      <c r="K154" s="11">
        <f>IF(RZS_100[[#This Row],[名前]]="","",(100+((VLOOKUP(RZS_100[[#This Row],[No用]],Q_Stat[],15,FALSE)-Statistics100!D$6)*5)/Statistics100!D$13))</f>
        <v>104.49659833464055</v>
      </c>
      <c r="L154" s="11">
        <f>IF(RZS_100[[#This Row],[名前]]="","",(100+((VLOOKUP(RZS_100[[#This Row],[No用]],Q_Stat[],16,FALSE)-Statistics100!E$6)*5)/Statistics100!E$13))</f>
        <v>103.37244875098041</v>
      </c>
      <c r="M154" s="11">
        <f>IF(RZS_100[[#This Row],[名前]]="","",(100+((VLOOKUP(RZS_100[[#This Row],[No用]],Q_Stat[],17,FALSE)-Statistics100!F$6)*5)/Statistics100!F$13))</f>
        <v>93.255102498039179</v>
      </c>
      <c r="N154" s="11">
        <f>IF(RZS_100[[#This Row],[名前]]="","",(100+((VLOOKUP(RZS_100[[#This Row],[No用]],Q_Stat[],18,FALSE)-Statistics100!G$6)*5)/Statistics100!G$13))</f>
        <v>100.56207479183007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108.99319666928109</v>
      </c>
      <c r="Q154" s="11">
        <f>IF(RZS_100[[#This Row],[名前]]="","",(100+((VLOOKUP(RZS_100[[#This Row],[No用]],Q_Stat[],21,FALSE)-Statistics100!J$6)*5)/Statistics100!J$13))</f>
        <v>106.74489750196082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101.41425270202404</v>
      </c>
      <c r="T154" s="11">
        <f>IF(RZS_100[[#This Row],[名前]]="","",(100+((VLOOKUP(RZS_100[[#This Row],[No用]],Q_Stat[],26,FALSE)-Statistics100!M$6)*5)/Statistics100!M$13))</f>
        <v>100.67448975019609</v>
      </c>
      <c r="U154" s="11">
        <f>IF(RZS_100[[#This Row],[名前]]="","",(100+((VLOOKUP(RZS_100[[#This Row],[No用]],Q_Stat[],27,FALSE)-Statistics100!N$6)*5)/Statistics100!N$13))</f>
        <v>100.4817783929972</v>
      </c>
      <c r="V154" s="11">
        <f>IF(RZS_100[[#This Row],[名前]]="","",(100+((VLOOKUP(RZS_100[[#This Row],[No用]],Q_Stat[],28,FALSE)-Statistics100!O$6)*5)/Statistics100!O$13))</f>
        <v>104.49659833464055</v>
      </c>
      <c r="W154" s="11">
        <f>IF(RZS_100[[#This Row],[名前]]="","",(100+((VLOOKUP(RZS_100[[#This Row],[No用]],Q_Stat[],29,FALSE)-Statistics100!P$6)*5)/Statistics100!P$13))</f>
        <v>104.81778392997201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川西太一</v>
      </c>
      <c r="D155" t="str">
        <f>IFERROR(Stat[[#This Row],[じゃんけん]],"")</f>
        <v>グー</v>
      </c>
      <c r="E155" t="str">
        <f>IFERROR(Stat[[#This Row],[ポジション]],"")</f>
        <v>MB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ユニフォーム川西太一ICONIC</v>
      </c>
      <c r="I155" s="11">
        <f>IF(RZS_100[[#This Row],[名前]]="","",(100+((VLOOKUP(RZS_100[[#This Row],[No用]],Q_Stat[],13,FALSE)-Statistics100!B$6)*5)/Statistics100!B$13))</f>
        <v>101.49886611154685</v>
      </c>
      <c r="J155" s="11">
        <f>IF(RZS_100[[#This Row],[名前]]="","",(100+((VLOOKUP(RZS_100[[#This Row],[No用]],Q_Stat[],14,FALSE)-Statistics100!C$6)*5)/Statistics100!C$13))</f>
        <v>101.4453351789916</v>
      </c>
      <c r="K155" s="11">
        <f>IF(RZS_100[[#This Row],[名前]]="","",(100+((VLOOKUP(RZS_100[[#This Row],[No用]],Q_Stat[],15,FALSE)-Statistics100!D$6)*5)/Statistics100!D$13))</f>
        <v>98.875850416339858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103.93452354281048</v>
      </c>
      <c r="O155" s="11">
        <f>IF(RZS_100[[#This Row],[名前]]="","",(100+((VLOOKUP(RZS_100[[#This Row],[No用]],Q_Stat[],19,FALSE)-Statistics100!H$6)*5)/Statistics100!H$13))</f>
        <v>97.302040999215677</v>
      </c>
      <c r="P155" s="11">
        <f>IF(RZS_100[[#This Row],[名前]]="","",(100+((VLOOKUP(RZS_100[[#This Row],[No用]],Q_Stat[],20,FALSE)-Statistics100!I$6)*5)/Statistics100!I$13))</f>
        <v>100</v>
      </c>
      <c r="Q155" s="11">
        <f>IF(RZS_100[[#This Row],[名前]]="","",(100+((VLOOKUP(RZS_100[[#This Row],[No用]],Q_Stat[],21,FALSE)-Statistics100!J$6)*5)/Statistics100!J$13))</f>
        <v>100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99.020901975521824</v>
      </c>
      <c r="T155" s="11">
        <f>IF(RZS_100[[#This Row],[名前]]="","",(100+((VLOOKUP(RZS_100[[#This Row],[No用]],Q_Stat[],26,FALSE)-Statistics100!M$6)*5)/Statistics100!M$13))</f>
        <v>103.37244875098041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98.875850416339858</v>
      </c>
      <c r="W155" s="11">
        <f>IF(RZS_100[[#This Row],[名前]]="","",(100+((VLOOKUP(RZS_100[[#This Row],[No用]],Q_Stat[],29,FALSE)-Statistics100!P$6)*5)/Statistics100!P$13))</f>
        <v>98.072886428011188</v>
      </c>
      <c r="X155" s="11">
        <f>IF(RZS_100[[#This Row],[名前]]="","",(100+((VLOOKUP(RZS_100[[#This Row],[No用]],Q_Stat[],30,FALSE)-Statistics100!Q$6)*5)/Statistics100!Q$13))</f>
        <v>102.02346925058825</v>
      </c>
    </row>
    <row r="156" spans="1:24" x14ac:dyDescent="0.35">
      <c r="A156">
        <f>IFERROR(Stat[[#This Row],[No.]],"")</f>
        <v>155</v>
      </c>
      <c r="B156" t="str">
        <f>IFERROR(Stat[[#This Row],[服装]],"")</f>
        <v>路地裏</v>
      </c>
      <c r="C156" t="str">
        <f>IFERROR(Stat[[#This Row],[名前]],"")</f>
        <v>川西太一</v>
      </c>
      <c r="D156" t="str">
        <f>IFERROR(Stat[[#This Row],[じゃんけん]],"")</f>
        <v>パー</v>
      </c>
      <c r="E156" t="str">
        <f>IFERROR(Stat[[#This Row],[ポジション]],"")</f>
        <v>MB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路地裏川西太一ICONIC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102.40889196498601</v>
      </c>
      <c r="K156" s="11">
        <f>IF(RZS_100[[#This Row],[名前]]="","",(100+((VLOOKUP(RZS_100[[#This Row],[No用]],Q_Stat[],15,FALSE)-Statistics100!D$6)*5)/Statistics100!D$13))</f>
        <v>100</v>
      </c>
      <c r="L156" s="11">
        <f>IF(RZS_100[[#This Row],[名前]]="","",(100+((VLOOKUP(RZS_100[[#This Row],[No用]],Q_Stat[],16,FALSE)-Statistics100!E$6)*5)/Statistics100!E$13))</f>
        <v>101.6862243754902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107.30697229379089</v>
      </c>
      <c r="O156" s="11">
        <f>IF(RZS_100[[#This Row],[名前]]="","",(100+((VLOOKUP(RZS_100[[#This Row],[No用]],Q_Stat[],19,FALSE)-Statistics100!H$6)*5)/Statistics100!H$13))</f>
        <v>98.651020499607839</v>
      </c>
      <c r="P156" s="11">
        <f>IF(RZS_100[[#This Row],[名前]]="","",(100+((VLOOKUP(RZS_100[[#This Row],[No用]],Q_Stat[],20,FALSE)-Statistics100!I$6)*5)/Statistics100!I$13))</f>
        <v>106.74489750196082</v>
      </c>
      <c r="Q156" s="11">
        <f>IF(RZS_100[[#This Row],[名前]]="","",(100+((VLOOKUP(RZS_100[[#This Row],[No用]],Q_Stat[],21,FALSE)-Statistics100!J$6)*5)/Statistics100!J$13))</f>
        <v>101.6862243754902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102.06698471834284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102.40889196498601</v>
      </c>
      <c r="V156" s="11">
        <f>IF(RZS_100[[#This Row],[名前]]="","",(100+((VLOOKUP(RZS_100[[#This Row],[No用]],Q_Stat[],28,FALSE)-Statistics100!O$6)*5)/Statistics100!O$13))</f>
        <v>100</v>
      </c>
      <c r="W156" s="11">
        <f>IF(RZS_100[[#This Row],[名前]]="","",(100+((VLOOKUP(RZS_100[[#This Row],[No用]],Q_Stat[],29,FALSE)-Statistics100!P$6)*5)/Statistics100!P$13))</f>
        <v>100</v>
      </c>
      <c r="X156" s="11">
        <f>IF(RZS_100[[#This Row],[名前]]="","",(100+((VLOOKUP(RZS_100[[#This Row],[No用]],Q_Stat[],30,FALSE)-Statistics100!Q$6)*5)/Statistics100!Q$13))</f>
        <v>106.07040775176473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瀬見英太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ユニフォーム瀬見英太ICONIC</v>
      </c>
      <c r="I157" s="11">
        <f>IF(RZS_100[[#This Row],[名前]]="","",(100+((VLOOKUP(RZS_100[[#This Row],[No用]],Q_Stat[],13,FALSE)-Statistics100!B$6)*5)/Statistics100!B$13))</f>
        <v>97.002267776906308</v>
      </c>
      <c r="J157" s="11">
        <f>IF(RZS_100[[#This Row],[名前]]="","",(100+((VLOOKUP(RZS_100[[#This Row],[No用]],Q_Stat[],14,FALSE)-Statistics100!C$6)*5)/Statistics100!C$13))</f>
        <v>101.4453351789916</v>
      </c>
      <c r="K157" s="11">
        <f>IF(RZS_100[[#This Row],[名前]]="","",(100+((VLOOKUP(RZS_100[[#This Row],[No用]],Q_Stat[],15,FALSE)-Statistics100!D$6)*5)/Statistics100!D$13))</f>
        <v>107.86904708562096</v>
      </c>
      <c r="L157" s="11">
        <f>IF(RZS_100[[#This Row],[名前]]="","",(100+((VLOOKUP(RZS_100[[#This Row],[No用]],Q_Stat[],16,FALSE)-Statistics100!E$6)*5)/Statistics100!E$13))</f>
        <v>100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99.437925208169929</v>
      </c>
      <c r="O157" s="11">
        <f>IF(RZS_100[[#This Row],[名前]]="","",(100+((VLOOKUP(RZS_100[[#This Row],[No用]],Q_Stat[],19,FALSE)-Statistics100!H$6)*5)/Statistics100!H$13))</f>
        <v>100</v>
      </c>
      <c r="P157" s="11">
        <f>IF(RZS_100[[#This Row],[名前]]="","",(100+((VLOOKUP(RZS_100[[#This Row],[No用]],Q_Stat[],20,FALSE)-Statistics100!I$6)*5)/Statistics100!I$13))</f>
        <v>100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100.3263660081594</v>
      </c>
      <c r="T157" s="11">
        <f>IF(RZS_100[[#This Row],[名前]]="","",(100+((VLOOKUP(RZS_100[[#This Row],[No用]],Q_Stat[],26,FALSE)-Statistics100!M$6)*5)/Statistics100!M$13))</f>
        <v>99.325510249803912</v>
      </c>
      <c r="U157" s="11">
        <f>IF(RZS_100[[#This Row],[名前]]="","",(100+((VLOOKUP(RZS_100[[#This Row],[No用]],Q_Stat[],27,FALSE)-Statistics100!N$6)*5)/Statistics100!N$13))</f>
        <v>101.4453351789916</v>
      </c>
      <c r="V157" s="11">
        <f>IF(RZS_100[[#This Row],[名前]]="","",(100+((VLOOKUP(RZS_100[[#This Row],[No用]],Q_Stat[],28,FALSE)-Statistics100!O$6)*5)/Statistics100!O$13))</f>
        <v>107.86904708562096</v>
      </c>
      <c r="W157" s="11">
        <f>IF(RZS_100[[#This Row],[名前]]="","",(100+((VLOOKUP(RZS_100[[#This Row],[No用]],Q_Stat[],29,FALSE)-Statistics100!P$6)*5)/Statistics100!P$13))</f>
        <v>100.9635567859944</v>
      </c>
      <c r="X157" s="11">
        <f>IF(RZS_100[[#This Row],[名前]]="","",(100+((VLOOKUP(RZS_100[[#This Row],[No用]],Q_Stat[],30,FALSE)-Statistics100!Q$6)*5)/Statistics100!Q$13))</f>
        <v>99.325510249803912</v>
      </c>
    </row>
    <row r="158" spans="1:24" x14ac:dyDescent="0.35">
      <c r="A158">
        <f>IFERROR(Stat[[#This Row],[No.]],"")</f>
        <v>157</v>
      </c>
      <c r="B158" t="str">
        <f>IFERROR(Stat[[#This Row],[服装]],"")</f>
        <v>雪遊び</v>
      </c>
      <c r="C158" t="str">
        <f>IFERROR(Stat[[#This Row],[名前]],"")</f>
        <v>瀬見英太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雪遊び瀬見英太ICONIC</v>
      </c>
      <c r="I158" s="11">
        <f>IF(RZS_100[[#This Row],[名前]]="","",(100+((VLOOKUP(RZS_100[[#This Row],[No用]],Q_Stat[],13,FALSE)-Statistics100!B$6)*5)/Statistics100!B$13))</f>
        <v>97.751700832679731</v>
      </c>
      <c r="J158" s="11">
        <f>IF(RZS_100[[#This Row],[名前]]="","",(100+((VLOOKUP(RZS_100[[#This Row],[No用]],Q_Stat[],14,FALSE)-Statistics100!C$6)*5)/Statistics100!C$13))</f>
        <v>104.33600553697481</v>
      </c>
      <c r="K158" s="11">
        <f>IF(RZS_100[[#This Row],[名前]]="","",(100+((VLOOKUP(RZS_100[[#This Row],[No用]],Q_Stat[],15,FALSE)-Statistics100!D$6)*5)/Statistics100!D$13))</f>
        <v>111.24149583660136</v>
      </c>
      <c r="L158" s="11">
        <f>IF(RZS_100[[#This Row],[名前]]="","",(100+((VLOOKUP(RZS_100[[#This Row],[No用]],Q_Stat[],16,FALSE)-Statistics100!E$6)*5)/Statistics100!E$13))</f>
        <v>105.05867312647061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100.56207479183007</v>
      </c>
      <c r="O158" s="11">
        <f>IF(RZS_100[[#This Row],[名前]]="","",(100+((VLOOKUP(RZS_100[[#This Row],[No用]],Q_Stat[],19,FALSE)-Statistics100!H$6)*5)/Statistics100!H$13))</f>
        <v>101.34897950039216</v>
      </c>
      <c r="P158" s="11">
        <f>IF(RZS_100[[#This Row],[名前]]="","",(100+((VLOOKUP(RZS_100[[#This Row],[No用]],Q_Stat[],20,FALSE)-Statistics100!I$6)*5)/Statistics100!I$13))</f>
        <v>102.24829916732027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103.37244875098041</v>
      </c>
      <c r="T158" s="11">
        <f>IF(RZS_100[[#This Row],[名前]]="","",(100+((VLOOKUP(RZS_100[[#This Row],[No用]],Q_Stat[],26,FALSE)-Statistics100!M$6)*5)/Statistics100!M$13))</f>
        <v>100</v>
      </c>
      <c r="U158" s="11">
        <f>IF(RZS_100[[#This Row],[名前]]="","",(100+((VLOOKUP(RZS_100[[#This Row],[No用]],Q_Stat[],27,FALSE)-Statistics100!N$6)*5)/Statistics100!N$13))</f>
        <v>104.33600553697481</v>
      </c>
      <c r="V158" s="11">
        <f>IF(RZS_100[[#This Row],[名前]]="","",(100+((VLOOKUP(RZS_100[[#This Row],[No用]],Q_Stat[],28,FALSE)-Statistics100!O$6)*5)/Statistics100!O$13))</f>
        <v>111.24149583660136</v>
      </c>
      <c r="W158" s="11">
        <f>IF(RZS_100[[#This Row],[名前]]="","",(100+((VLOOKUP(RZS_100[[#This Row],[No用]],Q_Stat[],29,FALSE)-Statistics100!P$6)*5)/Statistics100!P$13))</f>
        <v>102.89067035798321</v>
      </c>
      <c r="X158" s="11">
        <f>IF(RZS_100[[#This Row],[名前]]="","",(100+((VLOOKUP(RZS_100[[#This Row],[No用]],Q_Stat[],30,FALSE)-Statistics100!Q$6)*5)/Statistics100!Q$13))</f>
        <v>100.67448975019609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山形隼人</v>
      </c>
      <c r="D159" t="str">
        <f>IFERROR(Stat[[#This Row],[じゃんけん]],"")</f>
        <v>グー</v>
      </c>
      <c r="E159" t="str">
        <f>IFERROR(Stat[[#This Row],[ポジション]],"")</f>
        <v>Li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ユニフォーム山形隼人ICONIC</v>
      </c>
      <c r="I159" s="11">
        <f>IF(RZS_100[[#This Row],[名前]]="","",(100+((VLOOKUP(RZS_100[[#This Row],[No用]],Q_Stat[],13,FALSE)-Statistics100!B$6)*5)/Statistics100!B$13))</f>
        <v>93.255102498039179</v>
      </c>
      <c r="J159" s="11">
        <f>IF(RZS_100[[#This Row],[名前]]="","",(100+((VLOOKUP(RZS_100[[#This Row],[No用]],Q_Stat[],14,FALSE)-Statistics100!C$6)*5)/Statistics100!C$13))</f>
        <v>91.80976731904758</v>
      </c>
      <c r="K159" s="11">
        <f>IF(RZS_100[[#This Row],[名前]]="","",(100+((VLOOKUP(RZS_100[[#This Row],[No用]],Q_Stat[],15,FALSE)-Statistics100!D$6)*5)/Statistics100!D$13))</f>
        <v>100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91.568878122548981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104.49659833464055</v>
      </c>
      <c r="Q159" s="11">
        <f>IF(RZS_100[[#This Row],[名前]]="","",(100+((VLOOKUP(RZS_100[[#This Row],[No用]],Q_Stat[],21,FALSE)-Statistics100!J$6)*5)/Statistics100!J$13))</f>
        <v>105.05867312647061</v>
      </c>
      <c r="R159" s="11">
        <f>IF(RZS_100[[#This Row],[名前]]="","",(100+((VLOOKUP(RZS_100[[#This Row],[No用]],Q_Stat[],22,FALSE)-Statistics100!K$6)*5)/Statistics100!K$13))</f>
        <v>103.37244875098041</v>
      </c>
      <c r="S159" s="11">
        <f>IF(RZS_100[[#This Row],[名前]]="","",(100+((VLOOKUP(RZS_100[[#This Row],[No用]],Q_Stat[],25,FALSE)-Statistics100!L$6)*5)/Statistics100!L$13))</f>
        <v>96.627551249019589</v>
      </c>
      <c r="T159" s="11">
        <f>IF(RZS_100[[#This Row],[名前]]="","",(100+((VLOOKUP(RZS_100[[#This Row],[No用]],Q_Stat[],26,FALSE)-Statistics100!M$6)*5)/Statistics100!M$13))</f>
        <v>95.953061498823502</v>
      </c>
      <c r="U159" s="11">
        <f>IF(RZS_100[[#This Row],[名前]]="","",(100+((VLOOKUP(RZS_100[[#This Row],[No用]],Q_Stat[],27,FALSE)-Statistics100!N$6)*5)/Statistics100!N$13))</f>
        <v>96.14577285602239</v>
      </c>
      <c r="V159" s="11">
        <f>IF(RZS_100[[#This Row],[名前]]="","",(100+((VLOOKUP(RZS_100[[#This Row],[No用]],Q_Stat[],28,FALSE)-Statistics100!O$6)*5)/Statistics100!O$13))</f>
        <v>100</v>
      </c>
      <c r="W159" s="11">
        <f>IF(RZS_100[[#This Row],[名前]]="","",(100+((VLOOKUP(RZS_100[[#This Row],[No用]],Q_Stat[],29,FALSE)-Statistics100!P$6)*5)/Statistics100!P$13))</f>
        <v>106.74489750196082</v>
      </c>
      <c r="X159" s="11">
        <f>IF(RZS_100[[#This Row],[名前]]="","",(100+((VLOOKUP(RZS_100[[#This Row],[No用]],Q_Stat[],30,FALSE)-Statistics100!Q$6)*5)/Statistics100!Q$13))</f>
        <v>95.953061498823502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宮侑</v>
      </c>
      <c r="D160" t="str">
        <f>IFERROR(Stat[[#This Row],[じゃんけん]],"")</f>
        <v>チョキ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ユニフォーム宮侑ICONIC</v>
      </c>
      <c r="I160" s="11">
        <f>IF(RZS_100[[#This Row],[名前]]="","",(100+((VLOOKUP(RZS_100[[#This Row],[No用]],Q_Stat[],13,FALSE)-Statistics100!B$6)*5)/Statistics100!B$13))</f>
        <v>99.250566944226577</v>
      </c>
      <c r="J160" s="11">
        <f>IF(RZS_100[[#This Row],[名前]]="","",(100+((VLOOKUP(RZS_100[[#This Row],[No用]],Q_Stat[],14,FALSE)-Statistics100!C$6)*5)/Statistics100!C$13))</f>
        <v>110.11734625294123</v>
      </c>
      <c r="K160" s="11">
        <f>IF(RZS_100[[#This Row],[名前]]="","",(100+((VLOOKUP(RZS_100[[#This Row],[No用]],Q_Stat[],15,FALSE)-Statistics100!D$6)*5)/Statistics100!D$13))</f>
        <v>117.98639333856218</v>
      </c>
      <c r="L160" s="11">
        <f>IF(RZS_100[[#This Row],[名前]]="","",(100+((VLOOKUP(RZS_100[[#This Row],[No用]],Q_Stat[],16,FALSE)-Statistics100!E$6)*5)/Statistics100!E$13))</f>
        <v>110.11734625294123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96.065476457189519</v>
      </c>
      <c r="O160" s="11">
        <f>IF(RZS_100[[#This Row],[名前]]="","",(100+((VLOOKUP(RZS_100[[#This Row],[No用]],Q_Stat[],19,FALSE)-Statistics100!H$6)*5)/Statistics100!H$13))</f>
        <v>102.69795900078432</v>
      </c>
      <c r="P160" s="11">
        <f>IF(RZS_100[[#This Row],[名前]]="","",(100+((VLOOKUP(RZS_100[[#This Row],[No用]],Q_Stat[],20,FALSE)-Statistics100!I$6)*5)/Statistics100!I$13))</f>
        <v>93.255102498039179</v>
      </c>
      <c r="Q160" s="11">
        <f>IF(RZS_100[[#This Row],[名前]]="","",(100+((VLOOKUP(RZS_100[[#This Row],[No用]],Q_Stat[],21,FALSE)-Statistics100!J$6)*5)/Statistics100!J$13))</f>
        <v>101.6862243754902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105.33064479993678</v>
      </c>
      <c r="T160" s="11">
        <f>IF(RZS_100[[#This Row],[名前]]="","",(100+((VLOOKUP(RZS_100[[#This Row],[No用]],Q_Stat[],26,FALSE)-Statistics100!M$6)*5)/Statistics100!M$13))</f>
        <v>101.34897950039216</v>
      </c>
      <c r="U160" s="11">
        <f>IF(RZS_100[[#This Row],[名前]]="","",(100+((VLOOKUP(RZS_100[[#This Row],[No用]],Q_Stat[],27,FALSE)-Statistics100!N$6)*5)/Statistics100!N$13))</f>
        <v>108.67201107394962</v>
      </c>
      <c r="V160" s="11">
        <f>IF(RZS_100[[#This Row],[名前]]="","",(100+((VLOOKUP(RZS_100[[#This Row],[No用]],Q_Stat[],28,FALSE)-Statistics100!O$6)*5)/Statistics100!O$13))</f>
        <v>117.98639333856218</v>
      </c>
      <c r="W160" s="11">
        <f>IF(RZS_100[[#This Row],[名前]]="","",(100+((VLOOKUP(RZS_100[[#This Row],[No用]],Q_Stat[],29,FALSE)-Statistics100!P$6)*5)/Statistics100!P$13))</f>
        <v>102.89067035798321</v>
      </c>
      <c r="X160" s="11">
        <f>IF(RZS_100[[#This Row],[名前]]="","",(100+((VLOOKUP(RZS_100[[#This Row],[No用]],Q_Stat[],30,FALSE)-Statistics100!Q$6)*5)/Statistics100!Q$13))</f>
        <v>95.278571748627428</v>
      </c>
    </row>
    <row r="161" spans="1:24" x14ac:dyDescent="0.35">
      <c r="A161">
        <f>IFERROR(Stat[[#This Row],[No.]],"")</f>
        <v>160</v>
      </c>
      <c r="B161" t="str">
        <f>IFERROR(Stat[[#This Row],[服装]],"")</f>
        <v>文化祭</v>
      </c>
      <c r="C161" t="str">
        <f>IFERROR(Stat[[#This Row],[名前]],"")</f>
        <v>宮侑</v>
      </c>
      <c r="D161" t="str">
        <f>IFERROR(Stat[[#This Row],[じゃんけん]],"")</f>
        <v>グー</v>
      </c>
      <c r="E161" t="str">
        <f>IFERROR(Stat[[#This Row],[ポジション]],"")</f>
        <v>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文化祭宮侑ICONIC</v>
      </c>
      <c r="I161" s="11">
        <f>IF(RZS_100[[#This Row],[名前]]="","",(100+((VLOOKUP(RZS_100[[#This Row],[No用]],Q_Stat[],13,FALSE)-Statistics100!B$6)*5)/Statistics100!B$13))</f>
        <v>100</v>
      </c>
      <c r="J161" s="11">
        <f>IF(RZS_100[[#This Row],[名前]]="","",(100+((VLOOKUP(RZS_100[[#This Row],[No用]],Q_Stat[],14,FALSE)-Statistics100!C$6)*5)/Statistics100!C$13))</f>
        <v>113.00801661092444</v>
      </c>
      <c r="K161" s="11">
        <f>IF(RZS_100[[#This Row],[名前]]="","",(100+((VLOOKUP(RZS_100[[#This Row],[No用]],Q_Stat[],15,FALSE)-Statistics100!D$6)*5)/Statistics100!D$13))</f>
        <v>121.35884208954259</v>
      </c>
      <c r="L161" s="11">
        <f>IF(RZS_100[[#This Row],[名前]]="","",(100+((VLOOKUP(RZS_100[[#This Row],[No用]],Q_Stat[],16,FALSE)-Statistics100!E$6)*5)/Statistics100!E$13))</f>
        <v>115.17601937941184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97.18962604084966</v>
      </c>
      <c r="O161" s="11">
        <f>IF(RZS_100[[#This Row],[名前]]="","",(100+((VLOOKUP(RZS_100[[#This Row],[No用]],Q_Stat[],19,FALSE)-Statistics100!H$6)*5)/Statistics100!H$13))</f>
        <v>104.0469385011765</v>
      </c>
      <c r="P161" s="11">
        <f>IF(RZS_100[[#This Row],[名前]]="","",(100+((VLOOKUP(RZS_100[[#This Row],[No用]],Q_Stat[],20,FALSE)-Statistics100!I$6)*5)/Statistics100!I$13))</f>
        <v>95.503401665359448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108.37672754275779</v>
      </c>
      <c r="T161" s="11">
        <f>IF(RZS_100[[#This Row],[名前]]="","",(100+((VLOOKUP(RZS_100[[#This Row],[No用]],Q_Stat[],26,FALSE)-Statistics100!M$6)*5)/Statistics100!M$13))</f>
        <v>102.02346925058825</v>
      </c>
      <c r="U161" s="11">
        <f>IF(RZS_100[[#This Row],[名前]]="","",(100+((VLOOKUP(RZS_100[[#This Row],[No用]],Q_Stat[],27,FALSE)-Statistics100!N$6)*5)/Statistics100!N$13))</f>
        <v>111.56268143193283</v>
      </c>
      <c r="V161" s="11">
        <f>IF(RZS_100[[#This Row],[名前]]="","",(100+((VLOOKUP(RZS_100[[#This Row],[No用]],Q_Stat[],28,FALSE)-Statistics100!O$6)*5)/Statistics100!O$13))</f>
        <v>121.35884208954259</v>
      </c>
      <c r="W161" s="11">
        <f>IF(RZS_100[[#This Row],[名前]]="","",(100+((VLOOKUP(RZS_100[[#This Row],[No用]],Q_Stat[],29,FALSE)-Statistics100!P$6)*5)/Statistics100!P$13))</f>
        <v>104.81778392997201</v>
      </c>
      <c r="X161" s="11">
        <f>IF(RZS_100[[#This Row],[名前]]="","",(100+((VLOOKUP(RZS_100[[#This Row],[No用]],Q_Stat[],30,FALSE)-Statistics100!Q$6)*5)/Statistics100!Q$13))</f>
        <v>96.627551249019589</v>
      </c>
    </row>
    <row r="162" spans="1:24" x14ac:dyDescent="0.35">
      <c r="A162">
        <f>IFERROR(Stat[[#This Row],[No.]],"")</f>
        <v>161</v>
      </c>
      <c r="B162" t="str">
        <f>IFERROR(Stat[[#This Row],[服装]],"")</f>
        <v>RPG</v>
      </c>
      <c r="C162" t="str">
        <f>IFERROR(Stat[[#This Row],[名前]],"")</f>
        <v>宮侑</v>
      </c>
      <c r="D162" t="str">
        <f>IFERROR(Stat[[#This Row],[じゃんけん]],"")</f>
        <v>パー</v>
      </c>
      <c r="E162" t="str">
        <f>IFERROR(Stat[[#This Row],[ポジション]],"")</f>
        <v>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RPG宮侑ICONIC</v>
      </c>
      <c r="I162" s="11">
        <f>IF(RZS_100[[#This Row],[名前]]="","",(100+((VLOOKUP(RZS_100[[#This Row],[No用]],Q_Stat[],13,FALSE)-Statistics100!B$6)*5)/Statistics100!B$13))</f>
        <v>98.501133888453154</v>
      </c>
      <c r="J162" s="11">
        <f>IF(RZS_100[[#This Row],[名前]]="","",(100+((VLOOKUP(RZS_100[[#This Row],[No用]],Q_Stat[],14,FALSE)-Statistics100!C$6)*5)/Statistics100!C$13))</f>
        <v>114.93513018291324</v>
      </c>
      <c r="K162" s="11">
        <f>IF(RZS_100[[#This Row],[名前]]="","",(100+((VLOOKUP(RZS_100[[#This Row],[No用]],Q_Stat[],15,FALSE)-Statistics100!D$6)*5)/Statistics100!D$13))</f>
        <v>120.23469250588246</v>
      </c>
      <c r="L162" s="11">
        <f>IF(RZS_100[[#This Row],[名前]]="","",(100+((VLOOKUP(RZS_100[[#This Row],[No用]],Q_Stat[],16,FALSE)-Statistics100!E$6)*5)/Statistics100!E$13))</f>
        <v>116.86224375490205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94.941326873529391</v>
      </c>
      <c r="O162" s="11">
        <f>IF(RZS_100[[#This Row],[名前]]="","",(100+((VLOOKUP(RZS_100[[#This Row],[No用]],Q_Stat[],19,FALSE)-Statistics100!H$6)*5)/Statistics100!H$13))</f>
        <v>106.74489750196082</v>
      </c>
      <c r="P162" s="11">
        <f>IF(RZS_100[[#This Row],[名前]]="","",(100+((VLOOKUP(RZS_100[[#This Row],[No用]],Q_Stat[],20,FALSE)-Statistics100!I$6)*5)/Statistics100!I$13))</f>
        <v>93.255102498039179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108.37672754275779</v>
      </c>
      <c r="T162" s="11">
        <f>IF(RZS_100[[#This Row],[名前]]="","",(100+((VLOOKUP(RZS_100[[#This Row],[No用]],Q_Stat[],26,FALSE)-Statistics100!M$6)*5)/Statistics100!M$13))</f>
        <v>100.67448975019609</v>
      </c>
      <c r="U162" s="11">
        <f>IF(RZS_100[[#This Row],[名前]]="","",(100+((VLOOKUP(RZS_100[[#This Row],[No用]],Q_Stat[],27,FALSE)-Statistics100!N$6)*5)/Statistics100!N$13))</f>
        <v>113.00801661092444</v>
      </c>
      <c r="V162" s="11">
        <f>IF(RZS_100[[#This Row],[名前]]="","",(100+((VLOOKUP(RZS_100[[#This Row],[No用]],Q_Stat[],28,FALSE)-Statistics100!O$6)*5)/Statistics100!O$13))</f>
        <v>120.23469250588246</v>
      </c>
      <c r="W162" s="11">
        <f>IF(RZS_100[[#This Row],[名前]]="","",(100+((VLOOKUP(RZS_100[[#This Row],[No用]],Q_Stat[],29,FALSE)-Statistics100!P$6)*5)/Statistics100!P$13))</f>
        <v>107.70845428795522</v>
      </c>
      <c r="X162" s="11">
        <f>IF(RZS_100[[#This Row],[名前]]="","",(100+((VLOOKUP(RZS_100[[#This Row],[No用]],Q_Stat[],30,FALSE)-Statistics100!Q$6)*5)/Statistics100!Q$13))</f>
        <v>94.60408199843134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宮治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ユニフォーム宮治ICONIC</v>
      </c>
      <c r="I163" s="11">
        <f>IF(RZS_100[[#This Row],[名前]]="","",(100+((VLOOKUP(RZS_100[[#This Row],[No用]],Q_Stat[],13,FALSE)-Statistics100!B$6)*5)/Statistics100!B$13))</f>
        <v>104.49659833464055</v>
      </c>
      <c r="J163" s="11">
        <f>IF(RZS_100[[#This Row],[名前]]="","",(100+((VLOOKUP(RZS_100[[#This Row],[No用]],Q_Stat[],14,FALSE)-Statistics100!C$6)*5)/Statistics100!C$13))</f>
        <v>101.4453351789916</v>
      </c>
      <c r="K163" s="11">
        <f>IF(RZS_100[[#This Row],[名前]]="","",(100+((VLOOKUP(RZS_100[[#This Row],[No用]],Q_Stat[],15,FALSE)-Statistics100!D$6)*5)/Statistics100!D$13))</f>
        <v>102.24829916732027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106.18282271013075</v>
      </c>
      <c r="O163" s="11">
        <f>IF(RZS_100[[#This Row],[名前]]="","",(100+((VLOOKUP(RZS_100[[#This Row],[No用]],Q_Stat[],19,FALSE)-Statistics100!H$6)*5)/Statistics100!H$13))</f>
        <v>102.69795900078432</v>
      </c>
      <c r="P163" s="11">
        <f>IF(RZS_100[[#This Row],[名前]]="","",(100+((VLOOKUP(RZS_100[[#This Row],[No用]],Q_Stat[],20,FALSE)-Statistics100!I$6)*5)/Statistics100!I$13))</f>
        <v>111.24149583660136</v>
      </c>
      <c r="Q163" s="11">
        <f>IF(RZS_100[[#This Row],[名前]]="","",(100+((VLOOKUP(RZS_100[[#This Row],[No用]],Q_Stat[],21,FALSE)-Statistics100!J$6)*5)/Statistics100!J$13))</f>
        <v>103.37244875098041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103.37244875098041</v>
      </c>
      <c r="T163" s="11">
        <f>IF(RZS_100[[#This Row],[名前]]="","",(100+((VLOOKUP(RZS_100[[#This Row],[No用]],Q_Stat[],26,FALSE)-Statistics100!M$6)*5)/Statistics100!M$13))</f>
        <v>106.07040775176473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102.24829916732027</v>
      </c>
      <c r="W163" s="11">
        <f>IF(RZS_100[[#This Row],[名前]]="","",(100+((VLOOKUP(RZS_100[[#This Row],[No用]],Q_Stat[],29,FALSE)-Statistics100!P$6)*5)/Statistics100!P$13))</f>
        <v>103.85422714397761</v>
      </c>
      <c r="X163" s="11">
        <f>IF(RZS_100[[#This Row],[名前]]="","",(100+((VLOOKUP(RZS_100[[#This Row],[No用]],Q_Stat[],30,FALSE)-Statistics100!Q$6)*5)/Statistics100!Q$13))</f>
        <v>106.74489750196082</v>
      </c>
    </row>
    <row r="164" spans="1:24" x14ac:dyDescent="0.35">
      <c r="A164">
        <f>IFERROR(Stat[[#This Row],[No.]],"")</f>
        <v>163</v>
      </c>
      <c r="B164" t="str">
        <f>IFERROR(Stat[[#This Row],[服装]],"")</f>
        <v>RPG</v>
      </c>
      <c r="C164" t="str">
        <f>IFERROR(Stat[[#This Row],[名前]],"")</f>
        <v>宮治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RPG宮治ICONIC</v>
      </c>
      <c r="I164" s="11">
        <f>IF(RZS_100[[#This Row],[名前]]="","",(100+((VLOOKUP(RZS_100[[#This Row],[No用]],Q_Stat[],13,FALSE)-Statistics100!B$6)*5)/Statistics100!B$13))</f>
        <v>106.74489750196082</v>
      </c>
      <c r="J164" s="11">
        <f>IF(RZS_100[[#This Row],[名前]]="","",(100+((VLOOKUP(RZS_100[[#This Row],[No用]],Q_Stat[],14,FALSE)-Statistics100!C$6)*5)/Statistics100!C$13))</f>
        <v>104.33600553697481</v>
      </c>
      <c r="K164" s="11">
        <f>IF(RZS_100[[#This Row],[名前]]="","",(100+((VLOOKUP(RZS_100[[#This Row],[No用]],Q_Stat[],15,FALSE)-Statistics100!D$6)*5)/Statistics100!D$13))</f>
        <v>103.37244875098041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107.30697229379089</v>
      </c>
      <c r="O164" s="11">
        <f>IF(RZS_100[[#This Row],[名前]]="","",(100+((VLOOKUP(RZS_100[[#This Row],[No用]],Q_Stat[],19,FALSE)-Statistics100!H$6)*5)/Statistics100!H$13))</f>
        <v>104.0469385011765</v>
      </c>
      <c r="P164" s="11">
        <f>IF(RZS_100[[#This Row],[名前]]="","",(100+((VLOOKUP(RZS_100[[#This Row],[No用]],Q_Stat[],20,FALSE)-Statistics100!I$6)*5)/Statistics100!I$13))</f>
        <v>117.98639333856218</v>
      </c>
      <c r="Q164" s="11">
        <f>IF(RZS_100[[#This Row],[名前]]="","",(100+((VLOOKUP(RZS_100[[#This Row],[No用]],Q_Stat[],21,FALSE)-Statistics100!J$6)*5)/Statistics100!J$13))</f>
        <v>105.05867312647061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106.41853149380142</v>
      </c>
      <c r="T164" s="11">
        <f>IF(RZS_100[[#This Row],[名前]]="","",(100+((VLOOKUP(RZS_100[[#This Row],[No用]],Q_Stat[],26,FALSE)-Statistics100!M$6)*5)/Statistics100!M$13))</f>
        <v>108.09387700235298</v>
      </c>
      <c r="U164" s="11">
        <f>IF(RZS_100[[#This Row],[名前]]="","",(100+((VLOOKUP(RZS_100[[#This Row],[No用]],Q_Stat[],27,FALSE)-Statistics100!N$6)*5)/Statistics100!N$13))</f>
        <v>103.37244875098041</v>
      </c>
      <c r="V164" s="11">
        <f>IF(RZS_100[[#This Row],[名前]]="","",(100+((VLOOKUP(RZS_100[[#This Row],[No用]],Q_Stat[],28,FALSE)-Statistics100!O$6)*5)/Statistics100!O$13))</f>
        <v>103.37244875098041</v>
      </c>
      <c r="W164" s="11">
        <f>IF(RZS_100[[#This Row],[名前]]="","",(100+((VLOOKUP(RZS_100[[#This Row],[No用]],Q_Stat[],29,FALSE)-Statistics100!P$6)*5)/Statistics100!P$13))</f>
        <v>105.78134071596642</v>
      </c>
      <c r="X164" s="11">
        <f>IF(RZS_100[[#This Row],[名前]]="","",(100+((VLOOKUP(RZS_100[[#This Row],[No用]],Q_Stat[],30,FALSE)-Statistics100!Q$6)*5)/Statistics100!Q$13))</f>
        <v>109.44285650274514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角名倫太郎</v>
      </c>
      <c r="D165" t="str">
        <f>IFERROR(Stat[[#This Row],[じゃんけん]],"")</f>
        <v>チョキ</v>
      </c>
      <c r="E165" t="str">
        <f>IFERROR(Stat[[#This Row],[ポジション]],"")</f>
        <v>MB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ユニフォーム角名倫太郎ICONIC</v>
      </c>
      <c r="I165" s="11">
        <f>IF(RZS_100[[#This Row],[名前]]="","",(100+((VLOOKUP(RZS_100[[#This Row],[No用]],Q_Stat[],13,FALSE)-Statistics100!B$6)*5)/Statistics100!B$13))</f>
        <v>103.74716527886712</v>
      </c>
      <c r="J165" s="11">
        <f>IF(RZS_100[[#This Row],[名前]]="","",(100+((VLOOKUP(RZS_100[[#This Row],[No用]],Q_Stat[],14,FALSE)-Statistics100!C$6)*5)/Statistics100!C$13))</f>
        <v>99.518221607002801</v>
      </c>
      <c r="K165" s="11">
        <f>IF(RZS_100[[#This Row],[名前]]="","",(100+((VLOOKUP(RZS_100[[#This Row],[No用]],Q_Stat[],15,FALSE)-Statistics100!D$6)*5)/Statistics100!D$13))</f>
        <v>97.751700832679731</v>
      </c>
      <c r="L165" s="11">
        <f>IF(RZS_100[[#This Row],[名前]]="","",(100+((VLOOKUP(RZS_100[[#This Row],[No用]],Q_Stat[],16,FALSE)-Statistics100!E$6)*5)/Statistics100!E$13))</f>
        <v>100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111.80357062843143</v>
      </c>
      <c r="O165" s="11">
        <f>IF(RZS_100[[#This Row],[名前]]="","",(100+((VLOOKUP(RZS_100[[#This Row],[No用]],Q_Stat[],19,FALSE)-Statistics100!H$6)*5)/Statistics100!H$13))</f>
        <v>95.953061498823502</v>
      </c>
      <c r="P165" s="11">
        <f>IF(RZS_100[[#This Row],[名前]]="","",(100+((VLOOKUP(RZS_100[[#This Row],[No用]],Q_Stat[],20,FALSE)-Statistics100!I$6)*5)/Statistics100!I$13))</f>
        <v>100</v>
      </c>
      <c r="Q165" s="11">
        <f>IF(RZS_100[[#This Row],[名前]]="","",(100+((VLOOKUP(RZS_100[[#This Row],[No用]],Q_Stat[],21,FALSE)-Statistics100!J$6)*5)/Statistics100!J$13))</f>
        <v>100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101.41425270202404</v>
      </c>
      <c r="T165" s="11">
        <f>IF(RZS_100[[#This Row],[名前]]="","",(100+((VLOOKUP(RZS_100[[#This Row],[No用]],Q_Stat[],26,FALSE)-Statistics100!M$6)*5)/Statistics100!M$13))</f>
        <v>105.39591800156866</v>
      </c>
      <c r="U165" s="11">
        <f>IF(RZS_100[[#This Row],[名前]]="","",(100+((VLOOKUP(RZS_100[[#This Row],[No用]],Q_Stat[],27,FALSE)-Statistics100!N$6)*5)/Statistics100!N$13))</f>
        <v>100.4817783929972</v>
      </c>
      <c r="V165" s="11">
        <f>IF(RZS_100[[#This Row],[名前]]="","",(100+((VLOOKUP(RZS_100[[#This Row],[No用]],Q_Stat[],28,FALSE)-Statistics100!O$6)*5)/Statistics100!O$13))</f>
        <v>97.751700832679731</v>
      </c>
      <c r="W165" s="11">
        <f>IF(RZS_100[[#This Row],[名前]]="","",(100+((VLOOKUP(RZS_100[[#This Row],[No用]],Q_Stat[],29,FALSE)-Statistics100!P$6)*5)/Statistics100!P$13))</f>
        <v>97.109329642016789</v>
      </c>
      <c r="X165" s="11">
        <f>IF(RZS_100[[#This Row],[名前]]="","",(100+((VLOOKUP(RZS_100[[#This Row],[No用]],Q_Stat[],30,FALSE)-Statistics100!Q$6)*5)/Statistics100!Q$13))</f>
        <v>106.74489750196082</v>
      </c>
    </row>
    <row r="166" spans="1:24" x14ac:dyDescent="0.35">
      <c r="A166">
        <f>IFERROR(Stat[[#This Row],[No.]],"")</f>
        <v>165</v>
      </c>
      <c r="B166" t="str">
        <f>IFERROR(Stat[[#This Row],[服装]],"")</f>
        <v>サバゲ</v>
      </c>
      <c r="C166" t="str">
        <f>IFERROR(Stat[[#This Row],[名前]],"")</f>
        <v>角名倫太郎</v>
      </c>
      <c r="D166" t="str">
        <f>IFERROR(Stat[[#This Row],[じゃんけん]],"")</f>
        <v>グー</v>
      </c>
      <c r="E166" t="str">
        <f>IFERROR(Stat[[#This Row],[ポジション]],"")</f>
        <v>MB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サバゲ角名倫太郎ICONIC</v>
      </c>
      <c r="I166" s="11">
        <f>IF(RZS_100[[#This Row],[名前]]="","",(100+((VLOOKUP(RZS_100[[#This Row],[No用]],Q_Stat[],13,FALSE)-Statistics100!B$6)*5)/Statistics100!B$13))</f>
        <v>105.9954644461874</v>
      </c>
      <c r="J166" s="11">
        <f>IF(RZS_100[[#This Row],[名前]]="","",(100+((VLOOKUP(RZS_100[[#This Row],[No用]],Q_Stat[],14,FALSE)-Statistics100!C$6)*5)/Statistics100!C$13))</f>
        <v>100.4817783929972</v>
      </c>
      <c r="K166" s="11">
        <f>IF(RZS_100[[#This Row],[名前]]="","",(100+((VLOOKUP(RZS_100[[#This Row],[No用]],Q_Stat[],15,FALSE)-Statistics100!D$6)*5)/Statistics100!D$13))</f>
        <v>98.875850416339858</v>
      </c>
      <c r="L166" s="11">
        <f>IF(RZS_100[[#This Row],[名前]]="","",(100+((VLOOKUP(RZS_100[[#This Row],[No用]],Q_Stat[],16,FALSE)-Statistics100!E$6)*5)/Statistics100!E$13))</f>
        <v>101.6862243754902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115.17601937941184</v>
      </c>
      <c r="O166" s="11">
        <f>IF(RZS_100[[#This Row],[名前]]="","",(100+((VLOOKUP(RZS_100[[#This Row],[No用]],Q_Stat[],19,FALSE)-Statistics100!H$6)*5)/Statistics100!H$13))</f>
        <v>97.302040999215677</v>
      </c>
      <c r="P166" s="11">
        <f>IF(RZS_100[[#This Row],[名前]]="","",(100+((VLOOKUP(RZS_100[[#This Row],[No用]],Q_Stat[],20,FALSE)-Statistics100!I$6)*5)/Statistics100!I$13))</f>
        <v>106.74489750196082</v>
      </c>
      <c r="Q166" s="11">
        <f>IF(RZS_100[[#This Row],[名前]]="","",(100+((VLOOKUP(RZS_100[[#This Row],[No用]],Q_Stat[],21,FALSE)-Statistics100!J$6)*5)/Statistics100!J$13))</f>
        <v>101.6862243754902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104.46033544484506</v>
      </c>
      <c r="T166" s="11">
        <f>IF(RZS_100[[#This Row],[名前]]="","",(100+((VLOOKUP(RZS_100[[#This Row],[No用]],Q_Stat[],26,FALSE)-Statistics100!M$6)*5)/Statistics100!M$13))</f>
        <v>107.41938725215689</v>
      </c>
      <c r="U166" s="11">
        <f>IF(RZS_100[[#This Row],[名前]]="","",(100+((VLOOKUP(RZS_100[[#This Row],[No用]],Q_Stat[],27,FALSE)-Statistics100!N$6)*5)/Statistics100!N$13))</f>
        <v>101.4453351789916</v>
      </c>
      <c r="V166" s="11">
        <f>IF(RZS_100[[#This Row],[名前]]="","",(100+((VLOOKUP(RZS_100[[#This Row],[No用]],Q_Stat[],28,FALSE)-Statistics100!O$6)*5)/Statistics100!O$13))</f>
        <v>98.875850416339858</v>
      </c>
      <c r="W166" s="11">
        <f>IF(RZS_100[[#This Row],[名前]]="","",(100+((VLOOKUP(RZS_100[[#This Row],[No用]],Q_Stat[],29,FALSE)-Statistics100!P$6)*5)/Statistics100!P$13))</f>
        <v>99.036443214005601</v>
      </c>
      <c r="X166" s="11">
        <f>IF(RZS_100[[#This Row],[名前]]="","",(100+((VLOOKUP(RZS_100[[#This Row],[No用]],Q_Stat[],30,FALSE)-Statistics100!Q$6)*5)/Statistics100!Q$13))</f>
        <v>110.79183600313731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北信介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ユニフォーム北信介ICONIC</v>
      </c>
      <c r="I167" s="11">
        <f>IF(RZS_100[[#This Row],[名前]]="","",(100+((VLOOKUP(RZS_100[[#This Row],[No用]],Q_Stat[],13,FALSE)-Statistics100!B$6)*5)/Statistics100!B$13))</f>
        <v>102.99773222309369</v>
      </c>
      <c r="J167" s="11">
        <f>IF(RZS_100[[#This Row],[名前]]="","",(100+((VLOOKUP(RZS_100[[#This Row],[No用]],Q_Stat[],14,FALSE)-Statistics100!C$6)*5)/Statistics100!C$13))</f>
        <v>100.4817783929972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96.627551249019589</v>
      </c>
      <c r="M167" s="11">
        <f>IF(RZS_100[[#This Row],[名前]]="","",(100+((VLOOKUP(RZS_100[[#This Row],[No用]],Q_Stat[],17,FALSE)-Statistics100!F$6)*5)/Statistics100!F$13))</f>
        <v>93.255102498039179</v>
      </c>
      <c r="N167" s="11">
        <f>IF(RZS_100[[#This Row],[名前]]="","",(100+((VLOOKUP(RZS_100[[#This Row],[No用]],Q_Stat[],18,FALSE)-Statistics100!G$6)*5)/Statistics100!G$13))</f>
        <v>100.56207479183007</v>
      </c>
      <c r="O167" s="11">
        <f>IF(RZS_100[[#This Row],[名前]]="","",(100+((VLOOKUP(RZS_100[[#This Row],[No用]],Q_Stat[],19,FALSE)-Statistics100!H$6)*5)/Statistics100!H$13))</f>
        <v>105.39591800156866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101.63183004079697</v>
      </c>
      <c r="T167" s="11">
        <f>IF(RZS_100[[#This Row],[名前]]="","",(100+((VLOOKUP(RZS_100[[#This Row],[No用]],Q_Stat[],26,FALSE)-Statistics100!M$6)*5)/Statistics100!M$13))</f>
        <v>102.02346925058825</v>
      </c>
      <c r="U167" s="11">
        <f>IF(RZS_100[[#This Row],[名前]]="","",(100+((VLOOKUP(RZS_100[[#This Row],[No用]],Q_Stat[],27,FALSE)-Statistics100!N$6)*5)/Statistics100!N$13))</f>
        <v>98.072886428011188</v>
      </c>
      <c r="V167" s="11">
        <f>IF(RZS_100[[#This Row],[名前]]="","",(100+((VLOOKUP(RZS_100[[#This Row],[No用]],Q_Stat[],28,FALSE)-Statistics100!O$6)*5)/Statistics100!O$13))</f>
        <v>101.12414958366014</v>
      </c>
      <c r="W167" s="11">
        <f>IF(RZS_100[[#This Row],[名前]]="","",(100+((VLOOKUP(RZS_100[[#This Row],[No用]],Q_Stat[],29,FALSE)-Statistics100!P$6)*5)/Statistics100!P$13))</f>
        <v>107.70845428795522</v>
      </c>
      <c r="X167" s="11">
        <f>IF(RZS_100[[#This Row],[名前]]="","",(100+((VLOOKUP(RZS_100[[#This Row],[No用]],Q_Stat[],30,FALSE)-Statistics100!Q$6)*5)/Statistics100!Q$13))</f>
        <v>102.02346925058825</v>
      </c>
    </row>
    <row r="168" spans="1:24" x14ac:dyDescent="0.35">
      <c r="A168">
        <f>IFERROR(Stat[[#This Row],[No.]],"")</f>
        <v>167</v>
      </c>
      <c r="B168" t="str">
        <f>IFERROR(Stat[[#This Row],[服装]],"")</f>
        <v>Xmas</v>
      </c>
      <c r="C168" t="str">
        <f>IFERROR(Stat[[#This Row],[名前]],"")</f>
        <v>北信介</v>
      </c>
      <c r="D168" t="str">
        <f>IFERROR(Stat[[#This Row],[じゃんけん]],"")</f>
        <v>グー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Xmas北信介ICONIC</v>
      </c>
      <c r="I168" s="11">
        <f>IF(RZS_100[[#This Row],[名前]]="","",(100+((VLOOKUP(RZS_100[[#This Row],[No用]],Q_Stat[],13,FALSE)-Statistics100!B$6)*5)/Statistics100!B$13))</f>
        <v>105.24603139041398</v>
      </c>
      <c r="J168" s="11">
        <f>IF(RZS_100[[#This Row],[名前]]="","",(100+((VLOOKUP(RZS_100[[#This Row],[No用]],Q_Stat[],14,FALSE)-Statistics100!C$6)*5)/Statistics100!C$13))</f>
        <v>103.37244875098041</v>
      </c>
      <c r="K168" s="11">
        <f>IF(RZS_100[[#This Row],[名前]]="","",(100+((VLOOKUP(RZS_100[[#This Row],[No用]],Q_Stat[],15,FALSE)-Statistics100!D$6)*5)/Statistics100!D$13))</f>
        <v>102.24829916732027</v>
      </c>
      <c r="L168" s="11">
        <f>IF(RZS_100[[#This Row],[名前]]="","",(100+((VLOOKUP(RZS_100[[#This Row],[No用]],Q_Stat[],16,FALSE)-Statistics100!E$6)*5)/Statistics100!E$13))</f>
        <v>98.313775624509802</v>
      </c>
      <c r="M168" s="11">
        <f>IF(RZS_100[[#This Row],[名前]]="","",(100+((VLOOKUP(RZS_100[[#This Row],[No用]],Q_Stat[],17,FALSE)-Statistics100!F$6)*5)/Statistics100!F$13))</f>
        <v>93.255102498039179</v>
      </c>
      <c r="N168" s="11">
        <f>IF(RZS_100[[#This Row],[名前]]="","",(100+((VLOOKUP(RZS_100[[#This Row],[No用]],Q_Stat[],18,FALSE)-Statistics100!G$6)*5)/Statistics100!G$13))</f>
        <v>101.6862243754902</v>
      </c>
      <c r="O168" s="11">
        <f>IF(RZS_100[[#This Row],[名前]]="","",(100+((VLOOKUP(RZS_100[[#This Row],[No用]],Q_Stat[],19,FALSE)-Statistics100!H$6)*5)/Statistics100!H$13))</f>
        <v>106.74489750196082</v>
      </c>
      <c r="P168" s="11">
        <f>IF(RZS_100[[#This Row],[名前]]="","",(100+((VLOOKUP(RZS_100[[#This Row],[No用]],Q_Stat[],20,FALSE)-Statistics100!I$6)*5)/Statistics100!I$13))</f>
        <v>113.48979500392164</v>
      </c>
      <c r="Q168" s="11">
        <f>IF(RZS_100[[#This Row],[名前]]="","",(100+((VLOOKUP(RZS_100[[#This Row],[No用]],Q_Stat[],21,FALSE)-Statistics100!J$6)*5)/Statistics100!J$13))</f>
        <v>108.43112187745102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104.67791278361798</v>
      </c>
      <c r="T168" s="11">
        <f>IF(RZS_100[[#This Row],[名前]]="","",(100+((VLOOKUP(RZS_100[[#This Row],[No用]],Q_Stat[],26,FALSE)-Statistics100!M$6)*5)/Statistics100!M$13))</f>
        <v>104.0469385011765</v>
      </c>
      <c r="U168" s="11">
        <f>IF(RZS_100[[#This Row],[名前]]="","",(100+((VLOOKUP(RZS_100[[#This Row],[No用]],Q_Stat[],27,FALSE)-Statistics100!N$6)*5)/Statistics100!N$13))</f>
        <v>100</v>
      </c>
      <c r="V168" s="11">
        <f>IF(RZS_100[[#This Row],[名前]]="","",(100+((VLOOKUP(RZS_100[[#This Row],[No用]],Q_Stat[],28,FALSE)-Statistics100!O$6)*5)/Statistics100!O$13))</f>
        <v>102.24829916732027</v>
      </c>
      <c r="W168" s="11">
        <f>IF(RZS_100[[#This Row],[名前]]="","",(100+((VLOOKUP(RZS_100[[#This Row],[No用]],Q_Stat[],29,FALSE)-Statistics100!P$6)*5)/Statistics100!P$13))</f>
        <v>109.63556785994403</v>
      </c>
      <c r="X168" s="11">
        <f>IF(RZS_100[[#This Row],[名前]]="","",(100+((VLOOKUP(RZS_100[[#This Row],[No用]],Q_Stat[],30,FALSE)-Statistics100!Q$6)*5)/Statistics100!Q$13))</f>
        <v>104.72142825137257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尾白アラン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ユニフォーム尾白アランICONIC</v>
      </c>
      <c r="I169" s="11">
        <f>IF(RZS_100[[#This Row],[名前]]="","",(100+((VLOOKUP(RZS_100[[#This Row],[No用]],Q_Stat[],13,FALSE)-Statistics100!B$6)*5)/Statistics100!B$13))</f>
        <v>104.49659833464055</v>
      </c>
      <c r="J169" s="11">
        <f>IF(RZS_100[[#This Row],[名前]]="","",(100+((VLOOKUP(RZS_100[[#This Row],[No用]],Q_Stat[],14,FALSE)-Statistics100!C$6)*5)/Statistics100!C$13))</f>
        <v>103.37244875098041</v>
      </c>
      <c r="K169" s="11">
        <f>IF(RZS_100[[#This Row],[名前]]="","",(100+((VLOOKUP(RZS_100[[#This Row],[No用]],Q_Stat[],15,FALSE)-Statistics100!D$6)*5)/Statistics100!D$13))</f>
        <v>98.875850416339858</v>
      </c>
      <c r="L169" s="11">
        <f>IF(RZS_100[[#This Row],[名前]]="","",(100+((VLOOKUP(RZS_100[[#This Row],[No用]],Q_Stat[],16,FALSE)-Statistics100!E$6)*5)/Statistics100!E$13))</f>
        <v>93.255102498039179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99.437925208169929</v>
      </c>
      <c r="O169" s="11">
        <f>IF(RZS_100[[#This Row],[名前]]="","",(100+((VLOOKUP(RZS_100[[#This Row],[No用]],Q_Stat[],19,FALSE)-Statistics100!H$6)*5)/Statistics100!H$13))</f>
        <v>97.302040999215677</v>
      </c>
      <c r="P169" s="11">
        <f>IF(RZS_100[[#This Row],[名前]]="","",(100+((VLOOKUP(RZS_100[[#This Row],[No用]],Q_Stat[],20,FALSE)-Statistics100!I$6)*5)/Statistics100!I$13))</f>
        <v>106.74489750196082</v>
      </c>
      <c r="Q169" s="11">
        <f>IF(RZS_100[[#This Row],[名前]]="","",(100+((VLOOKUP(RZS_100[[#This Row],[No用]],Q_Stat[],21,FALSE)-Statistics100!J$6)*5)/Statistics100!J$13))</f>
        <v>96.627551249019589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98.803324636748883</v>
      </c>
      <c r="T169" s="11">
        <f>IF(RZS_100[[#This Row],[名前]]="","",(100+((VLOOKUP(RZS_100[[#This Row],[No用]],Q_Stat[],26,FALSE)-Statistics100!M$6)*5)/Statistics100!M$13))</f>
        <v>106.07040775176473</v>
      </c>
      <c r="U169" s="11">
        <f>IF(RZS_100[[#This Row],[名前]]="","",(100+((VLOOKUP(RZS_100[[#This Row],[No用]],Q_Stat[],27,FALSE)-Statistics100!N$6)*5)/Statistics100!N$13))</f>
        <v>100.4817783929972</v>
      </c>
      <c r="V169" s="11">
        <f>IF(RZS_100[[#This Row],[名前]]="","",(100+((VLOOKUP(RZS_100[[#This Row],[No用]],Q_Stat[],28,FALSE)-Statistics100!O$6)*5)/Statistics100!O$13))</f>
        <v>98.875850416339858</v>
      </c>
      <c r="W169" s="11">
        <f>IF(RZS_100[[#This Row],[名前]]="","",(100+((VLOOKUP(RZS_100[[#This Row],[No用]],Q_Stat[],29,FALSE)-Statistics100!P$6)*5)/Statistics100!P$13))</f>
        <v>96.14577285602239</v>
      </c>
      <c r="X169" s="11">
        <f>IF(RZS_100[[#This Row],[名前]]="","",(100+((VLOOKUP(RZS_100[[#This Row],[No用]],Q_Stat[],30,FALSE)-Statistics100!Q$6)*5)/Statistics100!Q$13))</f>
        <v>101.34897950039216</v>
      </c>
    </row>
    <row r="170" spans="1:24" x14ac:dyDescent="0.35">
      <c r="A170">
        <f>IFERROR(Stat[[#This Row],[No.]],"")</f>
        <v>169</v>
      </c>
      <c r="B170" t="str">
        <f>IFERROR(Stat[[#This Row],[服装]],"")</f>
        <v>雪遊び</v>
      </c>
      <c r="C170" t="str">
        <f>IFERROR(Stat[[#This Row],[名前]],"")</f>
        <v>尾白アラン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雪遊び尾白アランICONIC</v>
      </c>
      <c r="I170" s="11">
        <f>IF(RZS_100[[#This Row],[名前]]="","",(100+((VLOOKUP(RZS_100[[#This Row],[No用]],Q_Stat[],13,FALSE)-Statistics100!B$6)*5)/Statistics100!B$13))</f>
        <v>106.74489750196082</v>
      </c>
      <c r="J170" s="11">
        <f>IF(RZS_100[[#This Row],[名前]]="","",(100+((VLOOKUP(RZS_100[[#This Row],[No用]],Q_Stat[],14,FALSE)-Statistics100!C$6)*5)/Statistics100!C$13))</f>
        <v>106.26311910896362</v>
      </c>
      <c r="K170" s="11">
        <f>IF(RZS_100[[#This Row],[名前]]="","",(100+((VLOOKUP(RZS_100[[#This Row],[No用]],Q_Stat[],15,FALSE)-Statistics100!D$6)*5)/Statistics100!D$13))</f>
        <v>100</v>
      </c>
      <c r="L170" s="11">
        <f>IF(RZS_100[[#This Row],[名前]]="","",(100+((VLOOKUP(RZS_100[[#This Row],[No用]],Q_Stat[],16,FALSE)-Statistics100!E$6)*5)/Statistics100!E$13))</f>
        <v>94.941326873529391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100.56207479183007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113.48979500392164</v>
      </c>
      <c r="Q170" s="11">
        <f>IF(RZS_100[[#This Row],[名前]]="","",(100+((VLOOKUP(RZS_100[[#This Row],[No用]],Q_Stat[],21,FALSE)-Statistics100!J$6)*5)/Statistics100!J$13))</f>
        <v>98.313775624509802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101.8494073795699</v>
      </c>
      <c r="T170" s="11">
        <f>IF(RZS_100[[#This Row],[名前]]="","",(100+((VLOOKUP(RZS_100[[#This Row],[No用]],Q_Stat[],26,FALSE)-Statistics100!M$6)*5)/Statistics100!M$13))</f>
        <v>108.09387700235298</v>
      </c>
      <c r="U170" s="11">
        <f>IF(RZS_100[[#This Row],[名前]]="","",(100+((VLOOKUP(RZS_100[[#This Row],[No用]],Q_Stat[],27,FALSE)-Statistics100!N$6)*5)/Statistics100!N$13))</f>
        <v>102.40889196498601</v>
      </c>
      <c r="V170" s="11">
        <f>IF(RZS_100[[#This Row],[名前]]="","",(100+((VLOOKUP(RZS_100[[#This Row],[No用]],Q_Stat[],28,FALSE)-Statistics100!O$6)*5)/Statistics100!O$13))</f>
        <v>100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104.0469385011765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赤木路成</v>
      </c>
      <c r="D171" t="str">
        <f>IFERROR(Stat[[#This Row],[じゃんけん]],"")</f>
        <v>チョキ</v>
      </c>
      <c r="E171" t="str">
        <f>IFERROR(Stat[[#This Row],[ポジション]],"")</f>
        <v>Li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ユニフォーム赤木路成ICONIC</v>
      </c>
      <c r="I171" s="11">
        <f>IF(RZS_100[[#This Row],[名前]]="","",(100+((VLOOKUP(RZS_100[[#This Row],[No用]],Q_Stat[],13,FALSE)-Statistics100!B$6)*5)/Statistics100!B$13))</f>
        <v>96.252834721132885</v>
      </c>
      <c r="J171" s="11">
        <f>IF(RZS_100[[#This Row],[名前]]="","",(100+((VLOOKUP(RZS_100[[#This Row],[No用]],Q_Stat[],14,FALSE)-Statistics100!C$6)*5)/Statistics100!C$13))</f>
        <v>91.80976731904758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101.6862243754902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91.568878122548981</v>
      </c>
      <c r="O171" s="11">
        <f>IF(RZS_100[[#This Row],[名前]]="","",(100+((VLOOKUP(RZS_100[[#This Row],[No用]],Q_Stat[],19,FALSE)-Statistics100!H$6)*5)/Statistics100!H$13))</f>
        <v>109.44285650274514</v>
      </c>
      <c r="P171" s="11">
        <f>IF(RZS_100[[#This Row],[名前]]="","",(100+((VLOOKUP(RZS_100[[#This Row],[No用]],Q_Stat[],20,FALSE)-Statistics100!I$6)*5)/Statistics100!I$13))</f>
        <v>102.24829916732027</v>
      </c>
      <c r="Q171" s="11">
        <f>IF(RZS_100[[#This Row],[名前]]="","",(100+((VLOOKUP(RZS_100[[#This Row],[No用]],Q_Stat[],21,FALSE)-Statistics100!J$6)*5)/Statistics100!J$13))</f>
        <v>108.43112187745102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99.23847931429475</v>
      </c>
      <c r="T171" s="11">
        <f>IF(RZS_100[[#This Row],[名前]]="","",(100+((VLOOKUP(RZS_100[[#This Row],[No用]],Q_Stat[],26,FALSE)-Statistics100!M$6)*5)/Statistics100!M$13))</f>
        <v>98.651020499607839</v>
      </c>
      <c r="U171" s="11">
        <f>IF(RZS_100[[#This Row],[名前]]="","",(100+((VLOOKUP(RZS_100[[#This Row],[No用]],Q_Stat[],27,FALSE)-Statistics100!N$6)*5)/Statistics100!N$13))</f>
        <v>97.109329642016789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111.56268143193283</v>
      </c>
      <c r="X171" s="11">
        <f>IF(RZS_100[[#This Row],[名前]]="","",(100+((VLOOKUP(RZS_100[[#This Row],[No用]],Q_Stat[],30,FALSE)-Statistics100!Q$6)*5)/Statistics100!Q$13))</f>
        <v>95.278571748627428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大耳練</v>
      </c>
      <c r="D172" t="str">
        <f>IFERROR(Stat[[#This Row],[じゃんけん]],"")</f>
        <v>チョキ</v>
      </c>
      <c r="E172" t="str">
        <f>IFERROR(Stat[[#This Row],[ポジション]],"")</f>
        <v>MB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ユニフォーム大耳練ICONIC</v>
      </c>
      <c r="I172" s="11">
        <f>IF(RZS_100[[#This Row],[名前]]="","",(100+((VLOOKUP(RZS_100[[#This Row],[No用]],Q_Stat[],13,FALSE)-Statistics100!B$6)*5)/Statistics100!B$13))</f>
        <v>97.751700832679731</v>
      </c>
      <c r="J172" s="11">
        <f>IF(RZS_100[[#This Row],[名前]]="","",(100+((VLOOKUP(RZS_100[[#This Row],[No用]],Q_Stat[],14,FALSE)-Statistics100!C$6)*5)/Statistics100!C$13))</f>
        <v>95.66399446302519</v>
      </c>
      <c r="K172" s="11">
        <f>IF(RZS_100[[#This Row],[名前]]="","",(100+((VLOOKUP(RZS_100[[#This Row],[No用]],Q_Stat[],15,FALSE)-Statistics100!D$6)*5)/Statistics100!D$13))</f>
        <v>100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112.92772021209157</v>
      </c>
      <c r="O172" s="11">
        <f>IF(RZS_100[[#This Row],[名前]]="","",(100+((VLOOKUP(RZS_100[[#This Row],[No用]],Q_Stat[],19,FALSE)-Statistics100!H$6)*5)/Statistics100!H$13))</f>
        <v>97.302040999215677</v>
      </c>
      <c r="P172" s="11">
        <f>IF(RZS_100[[#This Row],[名前]]="","",(100+((VLOOKUP(RZS_100[[#This Row],[No用]],Q_Stat[],20,FALSE)-Statistics100!I$6)*5)/Statistics100!I$13))</f>
        <v>95.503401665359448</v>
      </c>
      <c r="Q172" s="11">
        <f>IF(RZS_100[[#This Row],[名前]]="","",(100+((VLOOKUP(RZS_100[[#This Row],[No用]],Q_Stat[],21,FALSE)-Statistics100!J$6)*5)/Statistics100!J$13))</f>
        <v>100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97.062705926565457</v>
      </c>
      <c r="T172" s="11">
        <f>IF(RZS_100[[#This Row],[名前]]="","",(100+((VLOOKUP(RZS_100[[#This Row],[No用]],Q_Stat[],26,FALSE)-Statistics100!M$6)*5)/Statistics100!M$13))</f>
        <v>97.302040999215677</v>
      </c>
      <c r="U172" s="11">
        <f>IF(RZS_100[[#This Row],[名前]]="","",(100+((VLOOKUP(RZS_100[[#This Row],[No用]],Q_Stat[],27,FALSE)-Statistics100!N$6)*5)/Statistics100!N$13))</f>
        <v>96.14577285602239</v>
      </c>
      <c r="V172" s="11">
        <f>IF(RZS_100[[#This Row],[名前]]="","",(100+((VLOOKUP(RZS_100[[#This Row],[No用]],Q_Stat[],28,FALSE)-Statistics100!O$6)*5)/Statistics100!O$13))</f>
        <v>100</v>
      </c>
      <c r="W172" s="11">
        <f>IF(RZS_100[[#This Row],[名前]]="","",(100+((VLOOKUP(RZS_100[[#This Row],[No用]],Q_Stat[],29,FALSE)-Statistics100!P$6)*5)/Statistics100!P$13))</f>
        <v>98.072886428011188</v>
      </c>
      <c r="X172" s="11">
        <f>IF(RZS_100[[#This Row],[名前]]="","",(100+((VLOOKUP(RZS_100[[#This Row],[No用]],Q_Stat[],30,FALSE)-Statistics100!Q$6)*5)/Statistics100!Q$13))</f>
        <v>106.07040775176473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理石平介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ユニフォーム理石平介ICONIC</v>
      </c>
      <c r="I173" s="11">
        <f>IF(RZS_100[[#This Row],[名前]]="","",(100+((VLOOKUP(RZS_100[[#This Row],[No用]],Q_Stat[],13,FALSE)-Statistics100!B$6)*5)/Statistics100!B$13))</f>
        <v>100</v>
      </c>
      <c r="J173" s="11">
        <f>IF(RZS_100[[#This Row],[名前]]="","",(100+((VLOOKUP(RZS_100[[#This Row],[No用]],Q_Stat[],14,FALSE)-Statistics100!C$6)*5)/Statistics100!C$13))</f>
        <v>107.22667589495802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89.882653747058768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97.18962604084966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102.24829916732027</v>
      </c>
      <c r="Q173" s="11">
        <f>IF(RZS_100[[#This Row],[名前]]="","",(100+((VLOOKUP(RZS_100[[#This Row],[No用]],Q_Stat[],21,FALSE)-Statistics100!J$6)*5)/Statistics100!J$13))</f>
        <v>100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96.409973910246663</v>
      </c>
      <c r="T173" s="11">
        <f>IF(RZS_100[[#This Row],[名前]]="","",(100+((VLOOKUP(RZS_100[[#This Row],[No用]],Q_Stat[],26,FALSE)-Statistics100!M$6)*5)/Statistics100!M$13))</f>
        <v>99.325510249803912</v>
      </c>
      <c r="U173" s="11">
        <f>IF(RZS_100[[#This Row],[名前]]="","",(100+((VLOOKUP(RZS_100[[#This Row],[No用]],Q_Stat[],27,FALSE)-Statistics100!N$6)*5)/Statistics100!N$13))</f>
        <v>99.518221607002801</v>
      </c>
      <c r="V173" s="11">
        <f>IF(RZS_100[[#This Row],[名前]]="","",(100+((VLOOKUP(RZS_100[[#This Row],[No用]],Q_Stat[],28,FALSE)-Statistics100!O$6)*5)/Statistics100!O$13))</f>
        <v>97.751700832679731</v>
      </c>
      <c r="W173" s="11">
        <f>IF(RZS_100[[#This Row],[名前]]="","",(100+((VLOOKUP(RZS_100[[#This Row],[No用]],Q_Stat[],29,FALSE)-Statistics100!P$6)*5)/Statistics100!P$13))</f>
        <v>98.072886428011188</v>
      </c>
      <c r="X173" s="11">
        <f>IF(RZS_100[[#This Row],[名前]]="","",(100+((VLOOKUP(RZS_100[[#This Row],[No用]],Q_Stat[],30,FALSE)-Statistics100!Q$6)*5)/Statistics100!Q$13))</f>
        <v>98.651020499607839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銀島結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ユニフォーム銀島結ICONIC</v>
      </c>
      <c r="I174" s="11">
        <f>IF(RZS_100[[#This Row],[名前]]="","",(100+((VLOOKUP(RZS_100[[#This Row],[No用]],Q_Stat[],13,FALSE)-Statistics100!B$6)*5)/Statistics100!B$13))</f>
        <v>100.74943305577342</v>
      </c>
      <c r="J174" s="11">
        <f>IF(RZS_100[[#This Row],[名前]]="","",(100+((VLOOKUP(RZS_100[[#This Row],[No用]],Q_Stat[],14,FALSE)-Statistics100!C$6)*5)/Statistics100!C$13))</f>
        <v>98.554664821008402</v>
      </c>
      <c r="K174" s="11">
        <f>IF(RZS_100[[#This Row],[名前]]="","",(100+((VLOOKUP(RZS_100[[#This Row],[No用]],Q_Stat[],15,FALSE)-Statistics100!D$6)*5)/Statistics100!D$13))</f>
        <v>98.875850416339858</v>
      </c>
      <c r="L174" s="11">
        <f>IF(RZS_100[[#This Row],[名前]]="","",(100+((VLOOKUP(RZS_100[[#This Row],[No用]],Q_Stat[],16,FALSE)-Statistics100!E$6)*5)/Statistics100!E$13))</f>
        <v>94.941326873529391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99.437925208169929</v>
      </c>
      <c r="O174" s="11">
        <f>IF(RZS_100[[#This Row],[名前]]="","",(100+((VLOOKUP(RZS_100[[#This Row],[No用]],Q_Stat[],19,FALSE)-Statistics100!H$6)*5)/Statistics100!H$13))</f>
        <v>100</v>
      </c>
      <c r="P174" s="11">
        <f>IF(RZS_100[[#This Row],[名前]]="","",(100+((VLOOKUP(RZS_100[[#This Row],[No用]],Q_Stat[],20,FALSE)-Statistics100!I$6)*5)/Statistics100!I$13))</f>
        <v>100</v>
      </c>
      <c r="Q174" s="11">
        <f>IF(RZS_100[[#This Row],[名前]]="","",(100+((VLOOKUP(RZS_100[[#This Row],[No用]],Q_Stat[],21,FALSE)-Statistics100!J$6)*5)/Statistics100!J$13))</f>
        <v>101.6862243754902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98.36816995920303</v>
      </c>
      <c r="T174" s="11">
        <f>IF(RZS_100[[#This Row],[名前]]="","",(100+((VLOOKUP(RZS_100[[#This Row],[No用]],Q_Stat[],26,FALSE)-Statistics100!M$6)*5)/Statistics100!M$13))</f>
        <v>102.69795900078432</v>
      </c>
      <c r="U174" s="11">
        <f>IF(RZS_100[[#This Row],[名前]]="","",(100+((VLOOKUP(RZS_100[[#This Row],[No用]],Q_Stat[],27,FALSE)-Statistics100!N$6)*5)/Statistics100!N$13))</f>
        <v>98.554664821008402</v>
      </c>
      <c r="V174" s="11">
        <f>IF(RZS_100[[#This Row],[名前]]="","",(100+((VLOOKUP(RZS_100[[#This Row],[No用]],Q_Stat[],28,FALSE)-Statistics100!O$6)*5)/Statistics100!O$13))</f>
        <v>98.875850416339858</v>
      </c>
      <c r="W174" s="11">
        <f>IF(RZS_100[[#This Row],[名前]]="","",(100+((VLOOKUP(RZS_100[[#This Row],[No用]],Q_Stat[],29,FALSE)-Statistics100!P$6)*5)/Statistics100!P$13))</f>
        <v>100.9635567859944</v>
      </c>
      <c r="X174" s="11">
        <f>IF(RZS_100[[#This Row],[名前]]="","",(100+((VLOOKUP(RZS_100[[#This Row],[No用]],Q_Stat[],30,FALSE)-Statistics100!Q$6)*5)/Statistics100!Q$13))</f>
        <v>99.325510249803912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木兎光太郎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ユニフォーム木兎光太郎ICONIC</v>
      </c>
      <c r="I175" s="11">
        <f>IF(RZS_100[[#This Row],[名前]]="","",(100+((VLOOKUP(RZS_100[[#This Row],[No用]],Q_Stat[],13,FALSE)-Statistics100!B$6)*5)/Statistics100!B$13))</f>
        <v>105.24603139041398</v>
      </c>
      <c r="J175" s="11">
        <f>IF(RZS_100[[#This Row],[名前]]="","",(100+((VLOOKUP(RZS_100[[#This Row],[No用]],Q_Stat[],14,FALSE)-Statistics100!C$6)*5)/Statistics100!C$13))</f>
        <v>108.19023268095242</v>
      </c>
      <c r="K175" s="11">
        <f>IF(RZS_100[[#This Row],[名前]]="","",(100+((VLOOKUP(RZS_100[[#This Row],[No用]],Q_Stat[],15,FALSE)-Statistics100!D$6)*5)/Statistics100!D$13))</f>
        <v>100</v>
      </c>
      <c r="L175" s="11">
        <f>IF(RZS_100[[#This Row],[名前]]="","",(100+((VLOOKUP(RZS_100[[#This Row],[No用]],Q_Stat[],16,FALSE)-Statistics100!E$6)*5)/Statistics100!E$13))</f>
        <v>96.627551249019589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100.56207479183007</v>
      </c>
      <c r="O175" s="11">
        <f>IF(RZS_100[[#This Row],[名前]]="","",(100+((VLOOKUP(RZS_100[[#This Row],[No用]],Q_Stat[],19,FALSE)-Statistics100!H$6)*5)/Statistics100!H$13))</f>
        <v>105.39591800156866</v>
      </c>
      <c r="P175" s="11">
        <f>IF(RZS_100[[#This Row],[名前]]="","",(100+((VLOOKUP(RZS_100[[#This Row],[No用]],Q_Stat[],20,FALSE)-Statistics100!I$6)*5)/Statistics100!I$13))</f>
        <v>108.99319666928109</v>
      </c>
      <c r="Q175" s="11">
        <f>IF(RZS_100[[#This Row],[名前]]="","",(100+((VLOOKUP(RZS_100[[#This Row],[No用]],Q_Stat[],21,FALSE)-Statistics100!J$6)*5)/Statistics100!J$13))</f>
        <v>106.74489750196082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102.71971673466162</v>
      </c>
      <c r="T175" s="11">
        <f>IF(RZS_100[[#This Row],[名前]]="","",(100+((VLOOKUP(RZS_100[[#This Row],[No用]],Q_Stat[],26,FALSE)-Statistics100!M$6)*5)/Statistics100!M$13))</f>
        <v>106.74489750196082</v>
      </c>
      <c r="U175" s="11">
        <f>IF(RZS_100[[#This Row],[名前]]="","",(100+((VLOOKUP(RZS_100[[#This Row],[No用]],Q_Stat[],27,FALSE)-Statistics100!N$6)*5)/Statistics100!N$13))</f>
        <v>103.85422714397761</v>
      </c>
      <c r="V175" s="11">
        <f>IF(RZS_100[[#This Row],[名前]]="","",(100+((VLOOKUP(RZS_100[[#This Row],[No用]],Q_Stat[],28,FALSE)-Statistics100!O$6)*5)/Statistics100!O$13))</f>
        <v>100</v>
      </c>
      <c r="W175" s="11">
        <f>IF(RZS_100[[#This Row],[名前]]="","",(100+((VLOOKUP(RZS_100[[#This Row],[No用]],Q_Stat[],29,FALSE)-Statistics100!P$6)*5)/Statistics100!P$13))</f>
        <v>107.70845428795522</v>
      </c>
      <c r="X175" s="11">
        <f>IF(RZS_100[[#This Row],[名前]]="","",(100+((VLOOKUP(RZS_100[[#This Row],[No用]],Q_Stat[],30,FALSE)-Statistics100!Q$6)*5)/Statistics100!Q$13))</f>
        <v>102.69795900078432</v>
      </c>
    </row>
    <row r="176" spans="1:24" x14ac:dyDescent="0.35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木兎光太郎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夏祭り木兎光太郎ICONIC</v>
      </c>
      <c r="I176" s="11">
        <f>IF(RZS_100[[#This Row],[名前]]="","",(100+((VLOOKUP(RZS_100[[#This Row],[No用]],Q_Stat[],13,FALSE)-Statistics100!B$6)*5)/Statistics100!B$13))</f>
        <v>107.49433055773424</v>
      </c>
      <c r="J176" s="11">
        <f>IF(RZS_100[[#This Row],[名前]]="","",(100+((VLOOKUP(RZS_100[[#This Row],[No用]],Q_Stat[],14,FALSE)-Statistics100!C$6)*5)/Statistics100!C$13))</f>
        <v>111.08090303893563</v>
      </c>
      <c r="K176" s="11">
        <f>IF(RZS_100[[#This Row],[名前]]="","",(100+((VLOOKUP(RZS_100[[#This Row],[No用]],Q_Stat[],15,FALSE)-Statistics100!D$6)*5)/Statistics100!D$13))</f>
        <v>101.12414958366014</v>
      </c>
      <c r="L176" s="11">
        <f>IF(RZS_100[[#This Row],[名前]]="","",(100+((VLOOKUP(RZS_100[[#This Row],[No用]],Q_Stat[],16,FALSE)-Statistics100!E$6)*5)/Statistics100!E$13))</f>
        <v>98.313775624509802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101.6862243754902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115.73809417124191</v>
      </c>
      <c r="Q176" s="11">
        <f>IF(RZS_100[[#This Row],[名前]]="","",(100+((VLOOKUP(RZS_100[[#This Row],[No用]],Q_Stat[],21,FALSE)-Statistics100!J$6)*5)/Statistics100!J$13))</f>
        <v>108.43112187745102</v>
      </c>
      <c r="R176" s="11">
        <f>IF(RZS_100[[#This Row],[名前]]="","",(100+((VLOOKUP(RZS_100[[#This Row],[No用]],Q_Stat[],22,FALSE)-Statistics100!K$6)*5)/Statistics100!K$13))</f>
        <v>93.255102498039179</v>
      </c>
      <c r="S176" s="11">
        <f>IF(RZS_100[[#This Row],[名前]]="","",(100+((VLOOKUP(RZS_100[[#This Row],[No用]],Q_Stat[],25,FALSE)-Statistics100!L$6)*5)/Statistics100!L$13))</f>
        <v>105.76579947748263</v>
      </c>
      <c r="T176" s="11">
        <f>IF(RZS_100[[#This Row],[名前]]="","",(100+((VLOOKUP(RZS_100[[#This Row],[No用]],Q_Stat[],26,FALSE)-Statistics100!M$6)*5)/Statistics100!M$13))</f>
        <v>108.76836675254907</v>
      </c>
      <c r="U176" s="11">
        <f>IF(RZS_100[[#This Row],[名前]]="","",(100+((VLOOKUP(RZS_100[[#This Row],[No用]],Q_Stat[],27,FALSE)-Statistics100!N$6)*5)/Statistics100!N$13))</f>
        <v>105.78134071596642</v>
      </c>
      <c r="V176" s="11">
        <f>IF(RZS_100[[#This Row],[名前]]="","",(100+((VLOOKUP(RZS_100[[#This Row],[No用]],Q_Stat[],28,FALSE)-Statistics100!O$6)*5)/Statistics100!O$13))</f>
        <v>101.12414958366014</v>
      </c>
      <c r="W176" s="11">
        <f>IF(RZS_100[[#This Row],[名前]]="","",(100+((VLOOKUP(RZS_100[[#This Row],[No用]],Q_Stat[],29,FALSE)-Statistics100!P$6)*5)/Statistics100!P$13))</f>
        <v>109.63556785994403</v>
      </c>
      <c r="X176" s="11">
        <f>IF(RZS_100[[#This Row],[名前]]="","",(100+((VLOOKUP(RZS_100[[#This Row],[No用]],Q_Stat[],30,FALSE)-Statistics100!Q$6)*5)/Statistics100!Q$13))</f>
        <v>105.39591800156866</v>
      </c>
    </row>
    <row r="177" spans="1:24" x14ac:dyDescent="0.35">
      <c r="A177">
        <f>IFERROR(Stat[[#This Row],[No.]],"")</f>
        <v>176</v>
      </c>
      <c r="B177" t="str">
        <f>IFERROR(Stat[[#This Row],[服装]],"")</f>
        <v>Xmas</v>
      </c>
      <c r="C177" t="str">
        <f>IFERROR(Stat[[#This Row],[名前]],"")</f>
        <v>木兎光太郎</v>
      </c>
      <c r="D177" t="str">
        <f>IFERROR(Stat[[#This Row],[じゃんけん]],"")</f>
        <v>グー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Xmas木兎光太郎ICONIC</v>
      </c>
      <c r="I177" s="11">
        <f>IF(RZS_100[[#This Row],[名前]]="","",(100+((VLOOKUP(RZS_100[[#This Row],[No用]],Q_Stat[],13,FALSE)-Statistics100!B$6)*5)/Statistics100!B$13))</f>
        <v>108.99319666928109</v>
      </c>
      <c r="J177" s="11">
        <f>IF(RZS_100[[#This Row],[名前]]="","",(100+((VLOOKUP(RZS_100[[#This Row],[No用]],Q_Stat[],14,FALSE)-Statistics100!C$6)*5)/Statistics100!C$13))</f>
        <v>109.15378946694682</v>
      </c>
      <c r="K177" s="11">
        <f>IF(RZS_100[[#This Row],[名前]]="","",(100+((VLOOKUP(RZS_100[[#This Row],[No用]],Q_Stat[],15,FALSE)-Statistics100!D$6)*5)/Statistics100!D$13))</f>
        <v>101.12414958366014</v>
      </c>
      <c r="L177" s="11">
        <f>IF(RZS_100[[#This Row],[名前]]="","",(100+((VLOOKUP(RZS_100[[#This Row],[No用]],Q_Stat[],16,FALSE)-Statistics100!E$6)*5)/Statistics100!E$13))</f>
        <v>94.941326873529391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103.93452354281048</v>
      </c>
      <c r="O177" s="11">
        <f>IF(RZS_100[[#This Row],[名前]]="","",(100+((VLOOKUP(RZS_100[[#This Row],[No用]],Q_Stat[],19,FALSE)-Statistics100!H$6)*5)/Statistics100!H$13))</f>
        <v>106.74489750196082</v>
      </c>
      <c r="P177" s="11">
        <f>IF(RZS_100[[#This Row],[名前]]="","",(100+((VLOOKUP(RZS_100[[#This Row],[No用]],Q_Stat[],20,FALSE)-Statistics100!I$6)*5)/Statistics100!I$13))</f>
        <v>120.23469250588246</v>
      </c>
      <c r="Q177" s="11">
        <f>IF(RZS_100[[#This Row],[名前]]="","",(100+((VLOOKUP(RZS_100[[#This Row],[No用]],Q_Stat[],21,FALSE)-Statistics100!J$6)*5)/Statistics100!J$13))</f>
        <v>106.74489750196082</v>
      </c>
      <c r="R177" s="11">
        <f>IF(RZS_100[[#This Row],[名前]]="","",(100+((VLOOKUP(RZS_100[[#This Row],[No用]],Q_Stat[],22,FALSE)-Statistics100!K$6)*5)/Statistics100!K$13))</f>
        <v>93.255102498039179</v>
      </c>
      <c r="S177" s="11">
        <f>IF(RZS_100[[#This Row],[名前]]="","",(100+((VLOOKUP(RZS_100[[#This Row],[No用]],Q_Stat[],25,FALSE)-Statistics100!L$6)*5)/Statistics100!L$13))</f>
        <v>105.98337681625557</v>
      </c>
      <c r="T177" s="11">
        <f>IF(RZS_100[[#This Row],[名前]]="","",(100+((VLOOKUP(RZS_100[[#This Row],[No用]],Q_Stat[],26,FALSE)-Statistics100!M$6)*5)/Statistics100!M$13))</f>
        <v>110.11734625294123</v>
      </c>
      <c r="U177" s="11">
        <f>IF(RZS_100[[#This Row],[名前]]="","",(100+((VLOOKUP(RZS_100[[#This Row],[No用]],Q_Stat[],27,FALSE)-Statistics100!N$6)*5)/Statistics100!N$13))</f>
        <v>103.85422714397761</v>
      </c>
      <c r="V177" s="11">
        <f>IF(RZS_100[[#This Row],[名前]]="","",(100+((VLOOKUP(RZS_100[[#This Row],[No用]],Q_Stat[],28,FALSE)-Statistics100!O$6)*5)/Statistics100!O$13))</f>
        <v>101.12414958366014</v>
      </c>
      <c r="W177" s="11">
        <f>IF(RZS_100[[#This Row],[名前]]="","",(100+((VLOOKUP(RZS_100[[#This Row],[No用]],Q_Stat[],29,FALSE)-Statistics100!P$6)*5)/Statistics100!P$13))</f>
        <v>108.67201107394962</v>
      </c>
      <c r="X177" s="11">
        <f>IF(RZS_100[[#This Row],[名前]]="","",(100+((VLOOKUP(RZS_100[[#This Row],[No用]],Q_Stat[],30,FALSE)-Statistics100!Q$6)*5)/Statistics100!Q$13))</f>
        <v>108.09387700235298</v>
      </c>
    </row>
    <row r="178" spans="1:24" x14ac:dyDescent="0.35">
      <c r="A178">
        <f>IFERROR(Stat[[#This Row],[No.]],"")</f>
        <v>177</v>
      </c>
      <c r="B178" t="str">
        <f>IFERROR(Stat[[#This Row],[服装]],"")</f>
        <v>制服</v>
      </c>
      <c r="C178" t="str">
        <f>IFERROR(Stat[[#This Row],[名前]],"")</f>
        <v>木兎光太郎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制服木兎光太郎ICONIC</v>
      </c>
      <c r="I178" s="11">
        <f>IF(RZS_100[[#This Row],[名前]]="","",(100+((VLOOKUP(RZS_100[[#This Row],[No用]],Q_Stat[],13,FALSE)-Statistics100!B$6)*5)/Statistics100!B$13))</f>
        <v>109.74262972505451</v>
      </c>
      <c r="J178" s="11">
        <f>IF(RZS_100[[#This Row],[名前]]="","",(100+((VLOOKUP(RZS_100[[#This Row],[No用]],Q_Stat[],14,FALSE)-Statistics100!C$6)*5)/Statistics100!C$13))</f>
        <v>108.19023268095242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93.255102498039179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101.6862243754902</v>
      </c>
      <c r="O178" s="11">
        <f>IF(RZS_100[[#This Row],[名前]]="","",(100+((VLOOKUP(RZS_100[[#This Row],[No用]],Q_Stat[],19,FALSE)-Statistics100!H$6)*5)/Statistics100!H$13))</f>
        <v>110.79183600313731</v>
      </c>
      <c r="P178" s="11">
        <f>IF(RZS_100[[#This Row],[名前]]="","",(100+((VLOOKUP(RZS_100[[#This Row],[No用]],Q_Stat[],20,FALSE)-Statistics100!I$6)*5)/Statistics100!I$13))</f>
        <v>115.73809417124191</v>
      </c>
      <c r="Q178" s="11">
        <f>IF(RZS_100[[#This Row],[名前]]="","",(100+((VLOOKUP(RZS_100[[#This Row],[No用]],Q_Stat[],21,FALSE)-Statistics100!J$6)*5)/Statistics100!J$13))</f>
        <v>111.80357062843143</v>
      </c>
      <c r="R178" s="11">
        <f>IF(RZS_100[[#This Row],[名前]]="","",(100+((VLOOKUP(RZS_100[[#This Row],[No用]],Q_Stat[],22,FALSE)-Statistics100!K$6)*5)/Statistics100!K$13))</f>
        <v>93.255102498039179</v>
      </c>
      <c r="S178" s="11">
        <f>IF(RZS_100[[#This Row],[名前]]="","",(100+((VLOOKUP(RZS_100[[#This Row],[No用]],Q_Stat[],25,FALSE)-Statistics100!L$6)*5)/Statistics100!L$13))</f>
        <v>106.2009541550285</v>
      </c>
      <c r="T178" s="11">
        <f>IF(RZS_100[[#This Row],[名前]]="","",(100+((VLOOKUP(RZS_100[[#This Row],[No用]],Q_Stat[],26,FALSE)-Statistics100!M$6)*5)/Statistics100!M$13))</f>
        <v>110.79183600313731</v>
      </c>
      <c r="U178" s="11">
        <f>IF(RZS_100[[#This Row],[名前]]="","",(100+((VLOOKUP(RZS_100[[#This Row],[No用]],Q_Stat[],27,FALSE)-Statistics100!N$6)*5)/Statistics100!N$13))</f>
        <v>102.89067035798321</v>
      </c>
      <c r="V178" s="11">
        <f>IF(RZS_100[[#This Row],[名前]]="","",(100+((VLOOKUP(RZS_100[[#This Row],[No用]],Q_Stat[],28,FALSE)-Statistics100!O$6)*5)/Statistics100!O$13))</f>
        <v>101.12414958366014</v>
      </c>
      <c r="W178" s="11">
        <f>IF(RZS_100[[#This Row],[名前]]="","",(100+((VLOOKUP(RZS_100[[#This Row],[No用]],Q_Stat[],29,FALSE)-Statistics100!P$6)*5)/Statistics100!P$13))</f>
        <v>114.45335178991604</v>
      </c>
      <c r="X178" s="11">
        <f>IF(RZS_100[[#This Row],[名前]]="","",(100+((VLOOKUP(RZS_100[[#This Row],[No用]],Q_Stat[],30,FALSE)-Statistics100!Q$6)*5)/Statistics100!Q$13))</f>
        <v>105.39591800156866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木葉秋紀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ユニフォーム木葉秋紀ICONIC</v>
      </c>
      <c r="I179" s="11">
        <f>IF(RZS_100[[#This Row],[名前]]="","",(100+((VLOOKUP(RZS_100[[#This Row],[No用]],Q_Stat[],13,FALSE)-Statistics100!B$6)*5)/Statistics100!B$13))</f>
        <v>101.49886611154685</v>
      </c>
      <c r="J179" s="11">
        <f>IF(RZS_100[[#This Row],[名前]]="","",(100+((VLOOKUP(RZS_100[[#This Row],[No用]],Q_Stat[],14,FALSE)-Statistics100!C$6)*5)/Statistics100!C$13))</f>
        <v>98.554664821008402</v>
      </c>
      <c r="K179" s="11">
        <f>IF(RZS_100[[#This Row],[名前]]="","",(100+((VLOOKUP(RZS_100[[#This Row],[No用]],Q_Stat[],15,FALSE)-Statistics100!D$6)*5)/Statistics100!D$13))</f>
        <v>106.74489750196082</v>
      </c>
      <c r="L179" s="11">
        <f>IF(RZS_100[[#This Row],[名前]]="","",(100+((VLOOKUP(RZS_100[[#This Row],[No用]],Q_Stat[],16,FALSE)-Statistics100!E$6)*5)/Statistics100!E$13))</f>
        <v>103.37244875098041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98.313775624509802</v>
      </c>
      <c r="O179" s="11">
        <f>IF(RZS_100[[#This Row],[名前]]="","",(100+((VLOOKUP(RZS_100[[#This Row],[No用]],Q_Stat[],19,FALSE)-Statistics100!H$6)*5)/Statistics100!H$13))</f>
        <v>105.39591800156866</v>
      </c>
      <c r="P179" s="11">
        <f>IF(RZS_100[[#This Row],[名前]]="","",(100+((VLOOKUP(RZS_100[[#This Row],[No用]],Q_Stat[],20,FALSE)-Statistics100!I$6)*5)/Statistics100!I$13))</f>
        <v>108.99319666928109</v>
      </c>
      <c r="Q179" s="11">
        <f>IF(RZS_100[[#This Row],[名前]]="","",(100+((VLOOKUP(RZS_100[[#This Row],[No用]],Q_Stat[],21,FALSE)-Statistics100!J$6)*5)/Statistics100!J$13))</f>
        <v>106.74489750196082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103.37244875098041</v>
      </c>
      <c r="T179" s="11">
        <f>IF(RZS_100[[#This Row],[名前]]="","",(100+((VLOOKUP(RZS_100[[#This Row],[No用]],Q_Stat[],26,FALSE)-Statistics100!M$6)*5)/Statistics100!M$13))</f>
        <v>103.37244875098041</v>
      </c>
      <c r="U179" s="11">
        <f>IF(RZS_100[[#This Row],[名前]]="","",(100+((VLOOKUP(RZS_100[[#This Row],[No用]],Q_Stat[],27,FALSE)-Statistics100!N$6)*5)/Statistics100!N$13))</f>
        <v>100.9635567859944</v>
      </c>
      <c r="V179" s="11">
        <f>IF(RZS_100[[#This Row],[名前]]="","",(100+((VLOOKUP(RZS_100[[#This Row],[No用]],Q_Stat[],28,FALSE)-Statistics100!O$6)*5)/Statistics100!O$13))</f>
        <v>106.74489750196082</v>
      </c>
      <c r="W179" s="11">
        <f>IF(RZS_100[[#This Row],[名前]]="","",(100+((VLOOKUP(RZS_100[[#This Row],[No用]],Q_Stat[],29,FALSE)-Statistics100!P$6)*5)/Statistics100!P$13))</f>
        <v>107.70845428795522</v>
      </c>
      <c r="X179" s="11">
        <f>IF(RZS_100[[#This Row],[名前]]="","",(100+((VLOOKUP(RZS_100[[#This Row],[No用]],Q_Stat[],30,FALSE)-Statistics100!Q$6)*5)/Statistics100!Q$13))</f>
        <v>101.34897950039216</v>
      </c>
    </row>
    <row r="180" spans="1:24" x14ac:dyDescent="0.35">
      <c r="A180">
        <f>IFERROR(Stat[[#This Row],[No.]],"")</f>
        <v>179</v>
      </c>
      <c r="B180" t="str">
        <f>IFERROR(Stat[[#This Row],[服装]],"")</f>
        <v>探偵</v>
      </c>
      <c r="C180" t="str">
        <f>IFERROR(Stat[[#This Row],[名前]],"")</f>
        <v>木葉秋紀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探偵木葉秋紀ICONIC</v>
      </c>
      <c r="I180" s="11">
        <f>IF(RZS_100[[#This Row],[名前]]="","",(100+((VLOOKUP(RZS_100[[#This Row],[No用]],Q_Stat[],13,FALSE)-Statistics100!B$6)*5)/Statistics100!B$13))</f>
        <v>103.74716527886712</v>
      </c>
      <c r="J180" s="11">
        <f>IF(RZS_100[[#This Row],[名前]]="","",(100+((VLOOKUP(RZS_100[[#This Row],[No用]],Q_Stat[],14,FALSE)-Statistics100!C$6)*5)/Statistics100!C$13))</f>
        <v>101.4453351789916</v>
      </c>
      <c r="K180" s="11">
        <f>IF(RZS_100[[#This Row],[名前]]="","",(100+((VLOOKUP(RZS_100[[#This Row],[No用]],Q_Stat[],15,FALSE)-Statistics100!D$6)*5)/Statistics100!D$13))</f>
        <v>107.86904708562096</v>
      </c>
      <c r="L180" s="11">
        <f>IF(RZS_100[[#This Row],[名前]]="","",(100+((VLOOKUP(RZS_100[[#This Row],[No用]],Q_Stat[],16,FALSE)-Statistics100!E$6)*5)/Statistics100!E$13))</f>
        <v>105.05867312647061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99.437925208169929</v>
      </c>
      <c r="O180" s="11">
        <f>IF(RZS_100[[#This Row],[名前]]="","",(100+((VLOOKUP(RZS_100[[#This Row],[No用]],Q_Stat[],19,FALSE)-Statistics100!H$6)*5)/Statistics100!H$13))</f>
        <v>106.74489750196082</v>
      </c>
      <c r="P180" s="11">
        <f>IF(RZS_100[[#This Row],[名前]]="","",(100+((VLOOKUP(RZS_100[[#This Row],[No用]],Q_Stat[],20,FALSE)-Statistics100!I$6)*5)/Statistics100!I$13))</f>
        <v>115.73809417124191</v>
      </c>
      <c r="Q180" s="11">
        <f>IF(RZS_100[[#This Row],[名前]]="","",(100+((VLOOKUP(RZS_100[[#This Row],[No用]],Q_Stat[],21,FALSE)-Statistics100!J$6)*5)/Statistics100!J$13))</f>
        <v>108.43112187745102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106.41853149380142</v>
      </c>
      <c r="T180" s="11">
        <f>IF(RZS_100[[#This Row],[名前]]="","",(100+((VLOOKUP(RZS_100[[#This Row],[No用]],Q_Stat[],26,FALSE)-Statistics100!M$6)*5)/Statistics100!M$13))</f>
        <v>105.39591800156866</v>
      </c>
      <c r="U180" s="11">
        <f>IF(RZS_100[[#This Row],[名前]]="","",(100+((VLOOKUP(RZS_100[[#This Row],[No用]],Q_Stat[],27,FALSE)-Statistics100!N$6)*5)/Statistics100!N$13))</f>
        <v>102.89067035798321</v>
      </c>
      <c r="V180" s="11">
        <f>IF(RZS_100[[#This Row],[名前]]="","",(100+((VLOOKUP(RZS_100[[#This Row],[No用]],Q_Stat[],28,FALSE)-Statistics100!O$6)*5)/Statistics100!O$13))</f>
        <v>107.86904708562096</v>
      </c>
      <c r="W180" s="11">
        <f>IF(RZS_100[[#This Row],[名前]]="","",(100+((VLOOKUP(RZS_100[[#This Row],[No用]],Q_Stat[],29,FALSE)-Statistics100!P$6)*5)/Statistics100!P$13))</f>
        <v>109.63556785994403</v>
      </c>
      <c r="X180" s="11">
        <f>IF(RZS_100[[#This Row],[名前]]="","",(100+((VLOOKUP(RZS_100[[#This Row],[No用]],Q_Stat[],30,FALSE)-Statistics100!Q$6)*5)/Statistics100!Q$13))</f>
        <v>104.0469385011765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猿杙大和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ユニフォーム猿杙大和ICONIC</v>
      </c>
      <c r="I181" s="11">
        <f>IF(RZS_100[[#This Row],[名前]]="","",(100+((VLOOKUP(RZS_100[[#This Row],[No用]],Q_Stat[],13,FALSE)-Statistics100!B$6)*5)/Statistics100!B$13))</f>
        <v>101.49886611154685</v>
      </c>
      <c r="J181" s="11">
        <f>IF(RZS_100[[#This Row],[名前]]="","",(100+((VLOOKUP(RZS_100[[#This Row],[No用]],Q_Stat[],14,FALSE)-Statistics100!C$6)*5)/Statistics100!C$13))</f>
        <v>100.4817783929972</v>
      </c>
      <c r="K181" s="11">
        <f>IF(RZS_100[[#This Row],[名前]]="","",(100+((VLOOKUP(RZS_100[[#This Row],[No用]],Q_Stat[],15,FALSE)-Statistics100!D$6)*5)/Statistics100!D$13))</f>
        <v>102.24829916732027</v>
      </c>
      <c r="L181" s="11">
        <f>IF(RZS_100[[#This Row],[名前]]="","",(100+((VLOOKUP(RZS_100[[#This Row],[No用]],Q_Stat[],16,FALSE)-Statistics100!E$6)*5)/Statistics100!E$13))</f>
        <v>100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103.93452354281048</v>
      </c>
      <c r="O181" s="11">
        <f>IF(RZS_100[[#This Row],[名前]]="","",(100+((VLOOKUP(RZS_100[[#This Row],[No用]],Q_Stat[],19,FALSE)-Statistics100!H$6)*5)/Statistics100!H$13))</f>
        <v>105.39591800156866</v>
      </c>
      <c r="P181" s="11">
        <f>IF(RZS_100[[#This Row],[名前]]="","",(100+((VLOOKUP(RZS_100[[#This Row],[No用]],Q_Stat[],20,FALSE)-Statistics100!I$6)*5)/Statistics100!I$13))</f>
        <v>113.48979500392164</v>
      </c>
      <c r="Q181" s="11">
        <f>IF(RZS_100[[#This Row],[名前]]="","",(100+((VLOOKUP(RZS_100[[#This Row],[No用]],Q_Stat[],21,FALSE)-Statistics100!J$6)*5)/Statistics100!J$13))</f>
        <v>101.6862243754902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103.59002608975334</v>
      </c>
      <c r="T181" s="11">
        <f>IF(RZS_100[[#This Row],[名前]]="","",(100+((VLOOKUP(RZS_100[[#This Row],[No用]],Q_Stat[],26,FALSE)-Statistics100!M$6)*5)/Statistics100!M$13))</f>
        <v>100.67448975019609</v>
      </c>
      <c r="U181" s="11">
        <f>IF(RZS_100[[#This Row],[名前]]="","",(100+((VLOOKUP(RZS_100[[#This Row],[No用]],Q_Stat[],27,FALSE)-Statistics100!N$6)*5)/Statistics100!N$13))</f>
        <v>99.036443214005601</v>
      </c>
      <c r="V181" s="11">
        <f>IF(RZS_100[[#This Row],[名前]]="","",(100+((VLOOKUP(RZS_100[[#This Row],[No用]],Q_Stat[],28,FALSE)-Statistics100!O$6)*5)/Statistics100!O$13))</f>
        <v>102.24829916732027</v>
      </c>
      <c r="W181" s="11">
        <f>IF(RZS_100[[#This Row],[名前]]="","",(100+((VLOOKUP(RZS_100[[#This Row],[No用]],Q_Stat[],29,FALSE)-Statistics100!P$6)*5)/Statistics100!P$13))</f>
        <v>104.81778392997201</v>
      </c>
      <c r="X181" s="11">
        <f>IF(RZS_100[[#This Row],[名前]]="","",(100+((VLOOKUP(RZS_100[[#This Row],[No用]],Q_Stat[],30,FALSE)-Statistics100!Q$6)*5)/Statistics100!Q$13))</f>
        <v>106.07040775176473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小見春樹</v>
      </c>
      <c r="D182" t="str">
        <f>IFERROR(Stat[[#This Row],[じゃんけん]],"")</f>
        <v>パー</v>
      </c>
      <c r="E182" t="str">
        <f>IFERROR(Stat[[#This Row],[ポジション]],"")</f>
        <v>Li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ユニフォーム小見春樹ICONIC</v>
      </c>
      <c r="I182" s="11">
        <f>IF(RZS_100[[#This Row],[名前]]="","",(100+((VLOOKUP(RZS_100[[#This Row],[No用]],Q_Stat[],13,FALSE)-Statistics100!B$6)*5)/Statistics100!B$13))</f>
        <v>94.004535553812602</v>
      </c>
      <c r="J182" s="11">
        <f>IF(RZS_100[[#This Row],[名前]]="","",(100+((VLOOKUP(RZS_100[[#This Row],[No用]],Q_Stat[],14,FALSE)-Statistics100!C$6)*5)/Statistics100!C$13))</f>
        <v>91.80976731904758</v>
      </c>
      <c r="K182" s="11">
        <f>IF(RZS_100[[#This Row],[名前]]="","",(100+((VLOOKUP(RZS_100[[#This Row],[No用]],Q_Stat[],15,FALSE)-Statistics100!D$6)*5)/Statistics100!D$13))</f>
        <v>98.875850416339858</v>
      </c>
      <c r="L182" s="11">
        <f>IF(RZS_100[[#This Row],[名前]]="","",(100+((VLOOKUP(RZS_100[[#This Row],[No用]],Q_Stat[],16,FALSE)-Statistics100!E$6)*5)/Statistics100!E$13))</f>
        <v>98.313775624509802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91.568878122548981</v>
      </c>
      <c r="O182" s="11">
        <f>IF(RZS_100[[#This Row],[名前]]="","",(100+((VLOOKUP(RZS_100[[#This Row],[No用]],Q_Stat[],19,FALSE)-Statistics100!H$6)*5)/Statistics100!H$13))</f>
        <v>108.09387700235298</v>
      </c>
      <c r="P182" s="11">
        <f>IF(RZS_100[[#This Row],[名前]]="","",(100+((VLOOKUP(RZS_100[[#This Row],[No用]],Q_Stat[],20,FALSE)-Statistics100!I$6)*5)/Statistics100!I$13))</f>
        <v>104.49659833464055</v>
      </c>
      <c r="Q182" s="11">
        <f>IF(RZS_100[[#This Row],[名前]]="","",(100+((VLOOKUP(RZS_100[[#This Row],[No用]],Q_Stat[],21,FALSE)-Statistics100!J$6)*5)/Statistics100!J$13))</f>
        <v>108.43112187745102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97.49786060411131</v>
      </c>
      <c r="T182" s="11">
        <f>IF(RZS_100[[#This Row],[名前]]="","",(100+((VLOOKUP(RZS_100[[#This Row],[No用]],Q_Stat[],26,FALSE)-Statistics100!M$6)*5)/Statistics100!M$13))</f>
        <v>96.627551249019589</v>
      </c>
      <c r="U182" s="11">
        <f>IF(RZS_100[[#This Row],[名前]]="","",(100+((VLOOKUP(RZS_100[[#This Row],[No用]],Q_Stat[],27,FALSE)-Statistics100!N$6)*5)/Statistics100!N$13))</f>
        <v>96.14577285602239</v>
      </c>
      <c r="V182" s="11">
        <f>IF(RZS_100[[#This Row],[名前]]="","",(100+((VLOOKUP(RZS_100[[#This Row],[No用]],Q_Stat[],28,FALSE)-Statistics100!O$6)*5)/Statistics100!O$13))</f>
        <v>98.875850416339858</v>
      </c>
      <c r="W182" s="11">
        <f>IF(RZS_100[[#This Row],[名前]]="","",(100+((VLOOKUP(RZS_100[[#This Row],[No用]],Q_Stat[],29,FALSE)-Statistics100!P$6)*5)/Statistics100!P$13))</f>
        <v>110.59912464593843</v>
      </c>
      <c r="X182" s="11">
        <f>IF(RZS_100[[#This Row],[名前]]="","",(100+((VLOOKUP(RZS_100[[#This Row],[No用]],Q_Stat[],30,FALSE)-Statistics100!Q$6)*5)/Statistics100!Q$13))</f>
        <v>95.953061498823502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尾長渉</v>
      </c>
      <c r="D183" t="str">
        <f>IFERROR(Stat[[#This Row],[じゃんけん]],"")</f>
        <v>パー</v>
      </c>
      <c r="E183" t="str">
        <f>IFERROR(Stat[[#This Row],[ポジション]],"")</f>
        <v>MB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ユニフォーム尾長渉ICONIC</v>
      </c>
      <c r="I183" s="11">
        <f>IF(RZS_100[[#This Row],[名前]]="","",(100+((VLOOKUP(RZS_100[[#This Row],[No用]],Q_Stat[],13,FALSE)-Statistics100!B$6)*5)/Statistics100!B$13))</f>
        <v>97.002267776906308</v>
      </c>
      <c r="J183" s="11">
        <f>IF(RZS_100[[#This Row],[名前]]="","",(100+((VLOOKUP(RZS_100[[#This Row],[No用]],Q_Stat[],14,FALSE)-Statistics100!C$6)*5)/Statistics100!C$13))</f>
        <v>98.554664821008402</v>
      </c>
      <c r="K183" s="11">
        <f>IF(RZS_100[[#This Row],[名前]]="","",(100+((VLOOKUP(RZS_100[[#This Row],[No用]],Q_Stat[],15,FALSE)-Statistics100!D$6)*5)/Statistics100!D$13))</f>
        <v>97.751700832679731</v>
      </c>
      <c r="L183" s="11">
        <f>IF(RZS_100[[#This Row],[名前]]="","",(100+((VLOOKUP(RZS_100[[#This Row],[No用]],Q_Stat[],16,FALSE)-Statistics100!E$6)*5)/Statistics100!E$13))</f>
        <v>91.568878122548981</v>
      </c>
      <c r="M183" s="11">
        <f>IF(RZS_100[[#This Row],[名前]]="","",(100+((VLOOKUP(RZS_100[[#This Row],[No用]],Q_Stat[],17,FALSE)-Statistics100!F$6)*5)/Statistics100!F$13))</f>
        <v>93.255102498039179</v>
      </c>
      <c r="N183" s="11">
        <f>IF(RZS_100[[#This Row],[名前]]="","",(100+((VLOOKUP(RZS_100[[#This Row],[No用]],Q_Stat[],18,FALSE)-Statistics100!G$6)*5)/Statistics100!G$13))</f>
        <v>103.93452354281048</v>
      </c>
      <c r="O183" s="11">
        <f>IF(RZS_100[[#This Row],[名前]]="","",(100+((VLOOKUP(RZS_100[[#This Row],[No用]],Q_Stat[],19,FALSE)-Statistics100!H$6)*5)/Statistics100!H$13))</f>
        <v>94.60408199843134</v>
      </c>
      <c r="P183" s="11">
        <f>IF(RZS_100[[#This Row],[名前]]="","",(100+((VLOOKUP(RZS_100[[#This Row],[No用]],Q_Stat[],20,FALSE)-Statistics100!I$6)*5)/Statistics100!I$13))</f>
        <v>93.255102498039179</v>
      </c>
      <c r="Q183" s="11">
        <f>IF(RZS_100[[#This Row],[名前]]="","",(100+((VLOOKUP(RZS_100[[#This Row],[No用]],Q_Stat[],21,FALSE)-Statistics100!J$6)*5)/Statistics100!J$13))</f>
        <v>96.627551249019589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94.451777861290296</v>
      </c>
      <c r="T183" s="11">
        <f>IF(RZS_100[[#This Row],[名前]]="","",(100+((VLOOKUP(RZS_100[[#This Row],[No用]],Q_Stat[],26,FALSE)-Statistics100!M$6)*5)/Statistics100!M$13))</f>
        <v>96.627551249019589</v>
      </c>
      <c r="U183" s="11">
        <f>IF(RZS_100[[#This Row],[名前]]="","",(100+((VLOOKUP(RZS_100[[#This Row],[No用]],Q_Stat[],27,FALSE)-Statistics100!N$6)*5)/Statistics100!N$13))</f>
        <v>95.66399446302519</v>
      </c>
      <c r="V183" s="11">
        <f>IF(RZS_100[[#This Row],[名前]]="","",(100+((VLOOKUP(RZS_100[[#This Row],[No用]],Q_Stat[],28,FALSE)-Statistics100!O$6)*5)/Statistics100!O$13))</f>
        <v>97.751700832679731</v>
      </c>
      <c r="W183" s="11">
        <f>IF(RZS_100[[#This Row],[名前]]="","",(100+((VLOOKUP(RZS_100[[#This Row],[No用]],Q_Stat[],29,FALSE)-Statistics100!P$6)*5)/Statistics100!P$13))</f>
        <v>94.218659284033578</v>
      </c>
      <c r="X183" s="11">
        <f>IF(RZS_100[[#This Row],[名前]]="","",(100+((VLOOKUP(RZS_100[[#This Row],[No用]],Q_Stat[],30,FALSE)-Statistics100!Q$6)*5)/Statistics100!Q$13))</f>
        <v>100</v>
      </c>
    </row>
    <row r="184" spans="1:24" x14ac:dyDescent="0.35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鷲尾辰生</v>
      </c>
      <c r="D184" t="str">
        <f>IFERROR(Stat[[#This Row],[じゃんけん]],"")</f>
        <v>パー</v>
      </c>
      <c r="E184" t="str">
        <f>IFERROR(Stat[[#This Row],[ポジション]],"")</f>
        <v>MB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ユニフォーム鷲尾辰生ICONIC</v>
      </c>
      <c r="I184" s="11">
        <f>IF(RZS_100[[#This Row],[名前]]="","",(100+((VLOOKUP(RZS_100[[#This Row],[No用]],Q_Stat[],13,FALSE)-Statistics100!B$6)*5)/Statistics100!B$13))</f>
        <v>100</v>
      </c>
      <c r="J184" s="11">
        <f>IF(RZS_100[[#This Row],[名前]]="","",(100+((VLOOKUP(RZS_100[[#This Row],[No用]],Q_Stat[],14,FALSE)-Statistics100!C$6)*5)/Statistics100!C$13))</f>
        <v>102.40889196498601</v>
      </c>
      <c r="K184" s="11">
        <f>IF(RZS_100[[#This Row],[名前]]="","",(100+((VLOOKUP(RZS_100[[#This Row],[No用]],Q_Stat[],15,FALSE)-Statistics100!D$6)*5)/Statistics100!D$13))</f>
        <v>97.751700832679731</v>
      </c>
      <c r="L184" s="11">
        <f>IF(RZS_100[[#This Row],[名前]]="","",(100+((VLOOKUP(RZS_100[[#This Row],[No用]],Q_Stat[],16,FALSE)-Statistics100!E$6)*5)/Statistics100!E$13))</f>
        <v>101.6862243754902</v>
      </c>
      <c r="M184" s="11">
        <f>IF(RZS_100[[#This Row],[名前]]="","",(100+((VLOOKUP(RZS_100[[#This Row],[No用]],Q_Stat[],17,FALSE)-Statistics100!F$6)*5)/Statistics100!F$13))</f>
        <v>93.255102498039179</v>
      </c>
      <c r="N184" s="11">
        <f>IF(RZS_100[[#This Row],[名前]]="","",(100+((VLOOKUP(RZS_100[[#This Row],[No用]],Q_Stat[],18,FALSE)-Statistics100!G$6)*5)/Statistics100!G$13))</f>
        <v>108.43112187745102</v>
      </c>
      <c r="O184" s="11">
        <f>IF(RZS_100[[#This Row],[名前]]="","",(100+((VLOOKUP(RZS_100[[#This Row],[No用]],Q_Stat[],19,FALSE)-Statistics100!H$6)*5)/Statistics100!H$13))</f>
        <v>97.302040999215677</v>
      </c>
      <c r="P184" s="11">
        <f>IF(RZS_100[[#This Row],[名前]]="","",(100+((VLOOKUP(RZS_100[[#This Row],[No用]],Q_Stat[],20,FALSE)-Statistics100!I$6)*5)/Statistics100!I$13))</f>
        <v>97.751700832679731</v>
      </c>
      <c r="Q184" s="11">
        <f>IF(RZS_100[[#This Row],[名前]]="","",(100+((VLOOKUP(RZS_100[[#This Row],[No用]],Q_Stat[],21,FALSE)-Statistics100!J$6)*5)/Statistics100!J$13))</f>
        <v>96.627551249019589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99.23847931429475</v>
      </c>
      <c r="T184" s="11">
        <f>IF(RZS_100[[#This Row],[名前]]="","",(100+((VLOOKUP(RZS_100[[#This Row],[No用]],Q_Stat[],26,FALSE)-Statistics100!M$6)*5)/Statistics100!M$13))</f>
        <v>99.325510249803912</v>
      </c>
      <c r="U184" s="11">
        <f>IF(RZS_100[[#This Row],[名前]]="","",(100+((VLOOKUP(RZS_100[[#This Row],[No用]],Q_Stat[],27,FALSE)-Statistics100!N$6)*5)/Statistics100!N$13))</f>
        <v>100.4817783929972</v>
      </c>
      <c r="V184" s="11">
        <f>IF(RZS_100[[#This Row],[名前]]="","",(100+((VLOOKUP(RZS_100[[#This Row],[No用]],Q_Stat[],28,FALSE)-Statistics100!O$6)*5)/Statistics100!O$13))</f>
        <v>97.751700832679731</v>
      </c>
      <c r="W184" s="11">
        <f>IF(RZS_100[[#This Row],[名前]]="","",(100+((VLOOKUP(RZS_100[[#This Row],[No用]],Q_Stat[],29,FALSE)-Statistics100!P$6)*5)/Statistics100!P$13))</f>
        <v>96.14577285602239</v>
      </c>
      <c r="X184" s="11">
        <f>IF(RZS_100[[#This Row],[名前]]="","",(100+((VLOOKUP(RZS_100[[#This Row],[No用]],Q_Stat[],30,FALSE)-Statistics100!Q$6)*5)/Statistics100!Q$13))</f>
        <v>104.0469385011765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赤葦京治</v>
      </c>
      <c r="D185" t="str">
        <f>IFERROR(Stat[[#This Row],[じゃんけん]],"")</f>
        <v>グー</v>
      </c>
      <c r="E185" t="str">
        <f>IFERROR(Stat[[#This Row],[ポジション]],"")</f>
        <v>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ユニフォーム赤葦京治ICONIC</v>
      </c>
      <c r="I185" s="11">
        <f>IF(RZS_100[[#This Row],[名前]]="","",(100+((VLOOKUP(RZS_100[[#This Row],[No用]],Q_Stat[],13,FALSE)-Statistics100!B$6)*5)/Statistics100!B$13))</f>
        <v>98.501133888453154</v>
      </c>
      <c r="J185" s="11">
        <f>IF(RZS_100[[#This Row],[名前]]="","",(100+((VLOOKUP(RZS_100[[#This Row],[No用]],Q_Stat[],14,FALSE)-Statistics100!C$6)*5)/Statistics100!C$13))</f>
        <v>102.40889196498601</v>
      </c>
      <c r="K185" s="11">
        <f>IF(RZS_100[[#This Row],[名前]]="","",(100+((VLOOKUP(RZS_100[[#This Row],[No用]],Q_Stat[],15,FALSE)-Statistics100!D$6)*5)/Statistics100!D$13))</f>
        <v>113.48979500392164</v>
      </c>
      <c r="L185" s="11">
        <f>IF(RZS_100[[#This Row],[名前]]="","",(100+((VLOOKUP(RZS_100[[#This Row],[No用]],Q_Stat[],16,FALSE)-Statistics100!E$6)*5)/Statistics100!E$13))</f>
        <v>108.43112187745102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96.065476457189519</v>
      </c>
      <c r="O185" s="11">
        <f>IF(RZS_100[[#This Row],[名前]]="","",(100+((VLOOKUP(RZS_100[[#This Row],[No用]],Q_Stat[],19,FALSE)-Statistics100!H$6)*5)/Statistics100!H$13))</f>
        <v>105.39591800156866</v>
      </c>
      <c r="P185" s="11">
        <f>IF(RZS_100[[#This Row],[名前]]="","",(100+((VLOOKUP(RZS_100[[#This Row],[No用]],Q_Stat[],20,FALSE)-Statistics100!I$6)*5)/Statistics100!I$13))</f>
        <v>102.24829916732027</v>
      </c>
      <c r="Q185" s="11">
        <f>IF(RZS_100[[#This Row],[名前]]="","",(100+((VLOOKUP(RZS_100[[#This Row],[No用]],Q_Stat[],21,FALSE)-Statistics100!J$6)*5)/Statistics100!J$13))</f>
        <v>103.37244875098041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104.89549012239092</v>
      </c>
      <c r="T185" s="11">
        <f>IF(RZS_100[[#This Row],[名前]]="","",(100+((VLOOKUP(RZS_100[[#This Row],[No用]],Q_Stat[],26,FALSE)-Statistics100!M$6)*5)/Statistics100!M$13))</f>
        <v>100.67448975019609</v>
      </c>
      <c r="U185" s="11">
        <f>IF(RZS_100[[#This Row],[名前]]="","",(100+((VLOOKUP(RZS_100[[#This Row],[No用]],Q_Stat[],27,FALSE)-Statistics100!N$6)*5)/Statistics100!N$13))</f>
        <v>104.33600553697481</v>
      </c>
      <c r="V185" s="11">
        <f>IF(RZS_100[[#This Row],[名前]]="","",(100+((VLOOKUP(RZS_100[[#This Row],[No用]],Q_Stat[],28,FALSE)-Statistics100!O$6)*5)/Statistics100!O$13))</f>
        <v>113.48979500392164</v>
      </c>
      <c r="W185" s="11">
        <f>IF(RZS_100[[#This Row],[名前]]="","",(100+((VLOOKUP(RZS_100[[#This Row],[No用]],Q_Stat[],29,FALSE)-Statistics100!P$6)*5)/Statistics100!P$13))</f>
        <v>105.78134071596642</v>
      </c>
      <c r="X185" s="11">
        <f>IF(RZS_100[[#This Row],[名前]]="","",(100+((VLOOKUP(RZS_100[[#This Row],[No用]],Q_Stat[],30,FALSE)-Statistics100!Q$6)*5)/Statistics100!Q$13))</f>
        <v>97.976530749411751</v>
      </c>
    </row>
    <row r="186" spans="1:24" x14ac:dyDescent="0.35">
      <c r="A186">
        <f>IFERROR(Stat[[#This Row],[No.]],"")</f>
        <v>185</v>
      </c>
      <c r="B186" t="str">
        <f>IFERROR(Stat[[#This Row],[服装]],"")</f>
        <v>夏祭り</v>
      </c>
      <c r="C186" t="str">
        <f>IFERROR(Stat[[#This Row],[名前]],"")</f>
        <v>赤葦京治</v>
      </c>
      <c r="D186" t="str">
        <f>IFERROR(Stat[[#This Row],[じゃんけん]],"")</f>
        <v>パー</v>
      </c>
      <c r="E186" t="str">
        <f>IFERROR(Stat[[#This Row],[ポジション]],"")</f>
        <v>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夏祭り赤葦京治ICONIC</v>
      </c>
      <c r="I186" s="11">
        <f>IF(RZS_100[[#This Row],[名前]]="","",(100+((VLOOKUP(RZS_100[[#This Row],[No用]],Q_Stat[],13,FALSE)-Statistics100!B$6)*5)/Statistics100!B$13))</f>
        <v>99.250566944226577</v>
      </c>
      <c r="J186" s="11">
        <f>IF(RZS_100[[#This Row],[名前]]="","",(100+((VLOOKUP(RZS_100[[#This Row],[No用]],Q_Stat[],14,FALSE)-Statistics100!C$6)*5)/Statistics100!C$13))</f>
        <v>105.29956232296922</v>
      </c>
      <c r="K186" s="11">
        <f>IF(RZS_100[[#This Row],[名前]]="","",(100+((VLOOKUP(RZS_100[[#This Row],[No用]],Q_Stat[],15,FALSE)-Statistics100!D$6)*5)/Statistics100!D$13))</f>
        <v>116.86224375490205</v>
      </c>
      <c r="L186" s="11">
        <f>IF(RZS_100[[#This Row],[名前]]="","",(100+((VLOOKUP(RZS_100[[#This Row],[No用]],Q_Stat[],16,FALSE)-Statistics100!E$6)*5)/Statistics100!E$13))</f>
        <v>113.48979500392164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97.18962604084966</v>
      </c>
      <c r="O186" s="11">
        <f>IF(RZS_100[[#This Row],[名前]]="","",(100+((VLOOKUP(RZS_100[[#This Row],[No用]],Q_Stat[],19,FALSE)-Statistics100!H$6)*5)/Statistics100!H$13))</f>
        <v>106.74489750196082</v>
      </c>
      <c r="P186" s="11">
        <f>IF(RZS_100[[#This Row],[名前]]="","",(100+((VLOOKUP(RZS_100[[#This Row],[No用]],Q_Stat[],20,FALSE)-Statistics100!I$6)*5)/Statistics100!I$13))</f>
        <v>104.49659833464055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107.94157286521194</v>
      </c>
      <c r="T186" s="11">
        <f>IF(RZS_100[[#This Row],[名前]]="","",(100+((VLOOKUP(RZS_100[[#This Row],[No用]],Q_Stat[],26,FALSE)-Statistics100!M$6)*5)/Statistics100!M$13))</f>
        <v>101.34897950039216</v>
      </c>
      <c r="U186" s="11">
        <f>IF(RZS_100[[#This Row],[名前]]="","",(100+((VLOOKUP(RZS_100[[#This Row],[No用]],Q_Stat[],27,FALSE)-Statistics100!N$6)*5)/Statistics100!N$13))</f>
        <v>107.22667589495802</v>
      </c>
      <c r="V186" s="11">
        <f>IF(RZS_100[[#This Row],[名前]]="","",(100+((VLOOKUP(RZS_100[[#This Row],[No用]],Q_Stat[],28,FALSE)-Statistics100!O$6)*5)/Statistics100!O$13))</f>
        <v>116.86224375490205</v>
      </c>
      <c r="W186" s="11">
        <f>IF(RZS_100[[#This Row],[名前]]="","",(100+((VLOOKUP(RZS_100[[#This Row],[No用]],Q_Stat[],29,FALSE)-Statistics100!P$6)*5)/Statistics100!P$13))</f>
        <v>107.70845428795522</v>
      </c>
      <c r="X186" s="11">
        <f>IF(RZS_100[[#This Row],[名前]]="","",(100+((VLOOKUP(RZS_100[[#This Row],[No用]],Q_Stat[],30,FALSE)-Statistics100!Q$6)*5)/Statistics100!Q$13))</f>
        <v>99.325510249803912</v>
      </c>
    </row>
    <row r="187" spans="1:24" x14ac:dyDescent="0.35">
      <c r="A187">
        <f>IFERROR(Stat[[#This Row],[No.]],"")</f>
        <v>186</v>
      </c>
      <c r="B187" t="str">
        <f>IFERROR(Stat[[#This Row],[服装]],"")</f>
        <v>制服</v>
      </c>
      <c r="C187" t="str">
        <f>IFERROR(Stat[[#This Row],[名前]],"")</f>
        <v>赤葦京治</v>
      </c>
      <c r="D187" t="str">
        <f>IFERROR(Stat[[#This Row],[じゃんけん]],"")</f>
        <v>チョキ</v>
      </c>
      <c r="E187" t="str">
        <f>IFERROR(Stat[[#This Row],[ポジション]],"")</f>
        <v>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制服赤葦京治ICONIC</v>
      </c>
      <c r="I187" s="11">
        <f>IF(RZS_100[[#This Row],[名前]]="","",(100+((VLOOKUP(RZS_100[[#This Row],[No用]],Q_Stat[],13,FALSE)-Statistics100!B$6)*5)/Statistics100!B$13))</f>
        <v>97.751700832679731</v>
      </c>
      <c r="J187" s="11">
        <f>IF(RZS_100[[#This Row],[名前]]="","",(100+((VLOOKUP(RZS_100[[#This Row],[No用]],Q_Stat[],14,FALSE)-Statistics100!C$6)*5)/Statistics100!C$13))</f>
        <v>107.22667589495802</v>
      </c>
      <c r="K187" s="11">
        <f>IF(RZS_100[[#This Row],[名前]]="","",(100+((VLOOKUP(RZS_100[[#This Row],[No用]],Q_Stat[],15,FALSE)-Statistics100!D$6)*5)/Statistics100!D$13))</f>
        <v>120.23469250588246</v>
      </c>
      <c r="L187" s="11">
        <f>IF(RZS_100[[#This Row],[名前]]="","",(100+((VLOOKUP(RZS_100[[#This Row],[No用]],Q_Stat[],16,FALSE)-Statistics100!E$6)*5)/Statistics100!E$13))</f>
        <v>116.86224375490205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93.81717728986925</v>
      </c>
      <c r="O187" s="11">
        <f>IF(RZS_100[[#This Row],[名前]]="","",(100+((VLOOKUP(RZS_100[[#This Row],[No用]],Q_Stat[],19,FALSE)-Statistics100!H$6)*5)/Statistics100!H$13))</f>
        <v>106.74489750196082</v>
      </c>
      <c r="P187" s="11">
        <f>IF(RZS_100[[#This Row],[名前]]="","",(100+((VLOOKUP(RZS_100[[#This Row],[No用]],Q_Stat[],20,FALSE)-Statistics100!I$6)*5)/Statistics100!I$13))</f>
        <v>100</v>
      </c>
      <c r="Q187" s="11">
        <f>IF(RZS_100[[#This Row],[名前]]="","",(100+((VLOOKUP(RZS_100[[#This Row],[No用]],Q_Stat[],21,FALSE)-Statistics100!J$6)*5)/Statistics100!J$13))</f>
        <v>105.05867312647061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107.94157286521194</v>
      </c>
      <c r="T187" s="11">
        <f>IF(RZS_100[[#This Row],[名前]]="","",(100+((VLOOKUP(RZS_100[[#This Row],[No用]],Q_Stat[],26,FALSE)-Statistics100!M$6)*5)/Statistics100!M$13))</f>
        <v>100</v>
      </c>
      <c r="U187" s="11">
        <f>IF(RZS_100[[#This Row],[名前]]="","",(100+((VLOOKUP(RZS_100[[#This Row],[No用]],Q_Stat[],27,FALSE)-Statistics100!N$6)*5)/Statistics100!N$13))</f>
        <v>109.15378946694682</v>
      </c>
      <c r="V187" s="11">
        <f>IF(RZS_100[[#This Row],[名前]]="","",(100+((VLOOKUP(RZS_100[[#This Row],[No用]],Q_Stat[],28,FALSE)-Statistics100!O$6)*5)/Statistics100!O$13))</f>
        <v>120.23469250588246</v>
      </c>
      <c r="W187" s="11">
        <f>IF(RZS_100[[#This Row],[名前]]="","",(100+((VLOOKUP(RZS_100[[#This Row],[No用]],Q_Stat[],29,FALSE)-Statistics100!P$6)*5)/Statistics100!P$13))</f>
        <v>107.70845428795522</v>
      </c>
      <c r="X187" s="11">
        <f>IF(RZS_100[[#This Row],[名前]]="","",(100+((VLOOKUP(RZS_100[[#This Row],[No用]],Q_Stat[],30,FALSE)-Statistics100!Q$6)*5)/Statistics100!Q$13))</f>
        <v>95.953061498823502</v>
      </c>
    </row>
    <row r="188" spans="1:24" x14ac:dyDescent="0.35">
      <c r="A188">
        <f>IFERROR(Stat[[#This Row],[No.]],"")</f>
        <v>187</v>
      </c>
      <c r="B188" t="str">
        <f>IFERROR(Stat[[#This Row],[服装]],"")</f>
        <v>バーガー</v>
      </c>
      <c r="C188" t="str">
        <f>IFERROR(Stat[[#This Row],[名前]],"")</f>
        <v>赤葦京治</v>
      </c>
      <c r="D188" t="str">
        <f>IFERROR(Stat[[#This Row],[じゃんけん]],"")</f>
        <v>グー</v>
      </c>
      <c r="E188" t="str">
        <f>IFERROR(Stat[[#This Row],[ポジション]],"")</f>
        <v>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バーガー赤葦京治ICONIC</v>
      </c>
      <c r="I188" s="11">
        <f>IF(RZS_100[[#This Row],[名前]]="","",(100+((VLOOKUP(RZS_100[[#This Row],[No用]],Q_Stat[],13,FALSE)-Statistics100!B$6)*5)/Statistics100!B$13))</f>
        <v>97.751700832679731</v>
      </c>
      <c r="J188" s="11">
        <f>IF(RZS_100[[#This Row],[名前]]="","",(100+((VLOOKUP(RZS_100[[#This Row],[No用]],Q_Stat[],14,FALSE)-Statistics100!C$6)*5)/Statistics100!C$13))</f>
        <v>102.40889196498601</v>
      </c>
      <c r="K188" s="11">
        <f>IF(RZS_100[[#This Row],[名前]]="","",(100+((VLOOKUP(RZS_100[[#This Row],[No用]],Q_Stat[],15,FALSE)-Statistics100!D$6)*5)/Statistics100!D$13))</f>
        <v>119.11054292222232</v>
      </c>
      <c r="L188" s="11">
        <f>IF(RZS_100[[#This Row],[名前]]="","",(100+((VLOOKUP(RZS_100[[#This Row],[No用]],Q_Stat[],16,FALSE)-Statistics100!E$6)*5)/Statistics100!E$13))</f>
        <v>111.80357062843143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100.56207479183007</v>
      </c>
      <c r="O188" s="11">
        <f>IF(RZS_100[[#This Row],[名前]]="","",(100+((VLOOKUP(RZS_100[[#This Row],[No用]],Q_Stat[],19,FALSE)-Statistics100!H$6)*5)/Statistics100!H$13))</f>
        <v>106.74489750196082</v>
      </c>
      <c r="P188" s="11">
        <f>IF(RZS_100[[#This Row],[名前]]="","",(100+((VLOOKUP(RZS_100[[#This Row],[No用]],Q_Stat[],20,FALSE)-Statistics100!I$6)*5)/Statistics100!I$13))</f>
        <v>108.99319666928109</v>
      </c>
      <c r="Q188" s="11">
        <f>IF(RZS_100[[#This Row],[名前]]="","",(100+((VLOOKUP(RZS_100[[#This Row],[No用]],Q_Stat[],21,FALSE)-Statistics100!J$6)*5)/Statistics100!J$13))</f>
        <v>105.05867312647061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108.15915020398486</v>
      </c>
      <c r="T188" s="11">
        <f>IF(RZS_100[[#This Row],[名前]]="","",(100+((VLOOKUP(RZS_100[[#This Row],[No用]],Q_Stat[],26,FALSE)-Statistics100!M$6)*5)/Statistics100!M$13))</f>
        <v>100</v>
      </c>
      <c r="U188" s="11">
        <f>IF(RZS_100[[#This Row],[名前]]="","",(100+((VLOOKUP(RZS_100[[#This Row],[No用]],Q_Stat[],27,FALSE)-Statistics100!N$6)*5)/Statistics100!N$13))</f>
        <v>105.29956232296922</v>
      </c>
      <c r="V188" s="11">
        <f>IF(RZS_100[[#This Row],[名前]]="","",(100+((VLOOKUP(RZS_100[[#This Row],[No用]],Q_Stat[],28,FALSE)-Statistics100!O$6)*5)/Statistics100!O$13))</f>
        <v>119.11054292222232</v>
      </c>
      <c r="W188" s="11">
        <f>IF(RZS_100[[#This Row],[名前]]="","",(100+((VLOOKUP(RZS_100[[#This Row],[No用]],Q_Stat[],29,FALSE)-Statistics100!P$6)*5)/Statistics100!P$13))</f>
        <v>107.70845428795522</v>
      </c>
      <c r="X188" s="11">
        <f>IF(RZS_100[[#This Row],[名前]]="","",(100+((VLOOKUP(RZS_100[[#This Row],[No用]],Q_Stat[],30,FALSE)-Statistics100!Q$6)*5)/Statistics100!Q$13))</f>
        <v>102.69795900078432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姫川葵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ユニフォーム姫川葵ICONIC</v>
      </c>
      <c r="I189" s="11">
        <f>IF(RZS_100[[#This Row],[名前]]="","",(100+((VLOOKUP(RZS_100[[#This Row],[No用]],Q_Stat[],13,FALSE)-Statistics100!B$6)*5)/Statistics100!B$13))</f>
        <v>97.751700832679731</v>
      </c>
      <c r="J189" s="11">
        <f>IF(RZS_100[[#This Row],[名前]]="","",(100+((VLOOKUP(RZS_100[[#This Row],[No用]],Q_Stat[],14,FALSE)-Statistics100!C$6)*5)/Statistics100!C$13))</f>
        <v>106.26311910896362</v>
      </c>
      <c r="K189" s="11">
        <f>IF(RZS_100[[#This Row],[名前]]="","",(100+((VLOOKUP(RZS_100[[#This Row],[No用]],Q_Stat[],15,FALSE)-Statistics100!D$6)*5)/Statistics100!D$13))</f>
        <v>101.12414958366014</v>
      </c>
      <c r="L189" s="11">
        <f>IF(RZS_100[[#This Row],[名前]]="","",(100+((VLOOKUP(RZS_100[[#This Row],[No用]],Q_Stat[],16,FALSE)-Statistics100!E$6)*5)/Statistics100!E$13))</f>
        <v>103.37244875098041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96.065476457189519</v>
      </c>
      <c r="O189" s="11">
        <f>IF(RZS_100[[#This Row],[名前]]="","",(100+((VLOOKUP(RZS_100[[#This Row],[No用]],Q_Stat[],19,FALSE)-Statistics100!H$6)*5)/Statistics100!H$13))</f>
        <v>98.651020499607839</v>
      </c>
      <c r="P189" s="11">
        <f>IF(RZS_100[[#This Row],[名前]]="","",(100+((VLOOKUP(RZS_100[[#This Row],[No用]],Q_Stat[],20,FALSE)-Statistics100!I$6)*5)/Statistics100!I$13))</f>
        <v>95.503401665359448</v>
      </c>
      <c r="Q189" s="11">
        <f>IF(RZS_100[[#This Row],[名前]]="","",(100+((VLOOKUP(RZS_100[[#This Row],[No用]],Q_Stat[],21,FALSE)-Statistics100!J$6)*5)/Statistics100!J$13))</f>
        <v>101.6862243754902</v>
      </c>
      <c r="R189" s="11">
        <f>IF(RZS_100[[#This Row],[名前]]="","",(100+((VLOOKUP(RZS_100[[#This Row],[No用]],Q_Stat[],22,FALSE)-Statistics100!K$6)*5)/Statistics100!K$13))</f>
        <v>96.627551249019589</v>
      </c>
      <c r="S189" s="11">
        <f>IF(RZS_100[[#This Row],[名前]]="","",(100+((VLOOKUP(RZS_100[[#This Row],[No用]],Q_Stat[],25,FALSE)-Statistics100!L$6)*5)/Statistics100!L$13))</f>
        <v>98.36816995920303</v>
      </c>
      <c r="T189" s="11">
        <f>IF(RZS_100[[#This Row],[名前]]="","",(100+((VLOOKUP(RZS_100[[#This Row],[No用]],Q_Stat[],26,FALSE)-Statistics100!M$6)*5)/Statistics100!M$13))</f>
        <v>100</v>
      </c>
      <c r="U189" s="11">
        <f>IF(RZS_100[[#This Row],[名前]]="","",(100+((VLOOKUP(RZS_100[[#This Row],[No用]],Q_Stat[],27,FALSE)-Statistics100!N$6)*5)/Statistics100!N$13))</f>
        <v>104.81778392997201</v>
      </c>
      <c r="V189" s="11">
        <f>IF(RZS_100[[#This Row],[名前]]="","",(100+((VLOOKUP(RZS_100[[#This Row],[No用]],Q_Stat[],28,FALSE)-Statistics100!O$6)*5)/Statistics100!O$13))</f>
        <v>101.12414958366014</v>
      </c>
      <c r="W189" s="11">
        <f>IF(RZS_100[[#This Row],[名前]]="","",(100+((VLOOKUP(RZS_100[[#This Row],[No用]],Q_Stat[],29,FALSE)-Statistics100!P$6)*5)/Statistics100!P$13))</f>
        <v>100</v>
      </c>
      <c r="X189" s="11">
        <f>IF(RZS_100[[#This Row],[名前]]="","",(100+((VLOOKUP(RZS_100[[#This Row],[No用]],Q_Stat[],30,FALSE)-Statistics100!Q$6)*5)/Statistics100!Q$13))</f>
        <v>95.953061498823502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当間義友</v>
      </c>
      <c r="D190" t="str">
        <f>IFERROR(Stat[[#This Row],[じゃんけん]],"")</f>
        <v>パー</v>
      </c>
      <c r="E190" t="str">
        <f>IFERROR(Stat[[#This Row],[ポジション]],"")</f>
        <v>MB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ユニフォーム当間義友ICONIC</v>
      </c>
      <c r="I190" s="11">
        <f>IF(RZS_100[[#This Row],[名前]]="","",(100+((VLOOKUP(RZS_100[[#This Row],[No用]],Q_Stat[],13,FALSE)-Statistics100!B$6)*5)/Statistics100!B$13))</f>
        <v>94.753968609586025</v>
      </c>
      <c r="J190" s="11">
        <f>IF(RZS_100[[#This Row],[名前]]="","",(100+((VLOOKUP(RZS_100[[#This Row],[No用]],Q_Stat[],14,FALSE)-Statistics100!C$6)*5)/Statistics100!C$13))</f>
        <v>94.700437677030777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94.941326873529391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106.18282271013075</v>
      </c>
      <c r="O190" s="11">
        <f>IF(RZS_100[[#This Row],[名前]]="","",(100+((VLOOKUP(RZS_100[[#This Row],[No用]],Q_Stat[],19,FALSE)-Statistics100!H$6)*5)/Statistics100!H$13))</f>
        <v>94.60408199843134</v>
      </c>
      <c r="P190" s="11">
        <f>IF(RZS_100[[#This Row],[名前]]="","",(100+((VLOOKUP(RZS_100[[#This Row],[No用]],Q_Stat[],20,FALSE)-Statistics100!I$6)*5)/Statistics100!I$13))</f>
        <v>97.751700832679731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96.627551249019589</v>
      </c>
      <c r="S190" s="11">
        <f>IF(RZS_100[[#This Row],[名前]]="","",(100+((VLOOKUP(RZS_100[[#This Row],[No用]],Q_Stat[],25,FALSE)-Statistics100!L$6)*5)/Statistics100!L$13))</f>
        <v>93.581468506198576</v>
      </c>
      <c r="T190" s="11">
        <f>IF(RZS_100[[#This Row],[名前]]="","",(100+((VLOOKUP(RZS_100[[#This Row],[No用]],Q_Stat[],26,FALSE)-Statistics100!M$6)*5)/Statistics100!M$13))</f>
        <v>94.60408199843134</v>
      </c>
      <c r="U190" s="11">
        <f>IF(RZS_100[[#This Row],[名前]]="","",(100+((VLOOKUP(RZS_100[[#This Row],[No用]],Q_Stat[],27,FALSE)-Statistics100!N$6)*5)/Statistics100!N$13))</f>
        <v>94.700437677030777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96.14577285602239</v>
      </c>
      <c r="X190" s="11">
        <f>IF(RZS_100[[#This Row],[名前]]="","",(100+((VLOOKUP(RZS_100[[#This Row],[No用]],Q_Stat[],30,FALSE)-Statistics100!Q$6)*5)/Statistics100!Q$13))</f>
        <v>102.69795900078432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越後栄</v>
      </c>
      <c r="D191" t="str">
        <f>IFERROR(Stat[[#This Row],[じゃんけん]],"")</f>
        <v>パー</v>
      </c>
      <c r="E191" t="str">
        <f>IFERROR(Stat[[#This Row],[ポジション]],"")</f>
        <v>S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ユニフォーム越後栄ICONIC</v>
      </c>
      <c r="I191" s="11">
        <f>IF(RZS_100[[#This Row],[名前]]="","",(100+((VLOOKUP(RZS_100[[#This Row],[No用]],Q_Stat[],13,FALSE)-Statistics100!B$6)*5)/Statistics100!B$13))</f>
        <v>97.751700832679731</v>
      </c>
      <c r="J191" s="11">
        <f>IF(RZS_100[[#This Row],[名前]]="","",(100+((VLOOKUP(RZS_100[[#This Row],[No用]],Q_Stat[],14,FALSE)-Statistics100!C$6)*5)/Statistics100!C$13))</f>
        <v>101.4453351789916</v>
      </c>
      <c r="K191" s="11">
        <f>IF(RZS_100[[#This Row],[名前]]="","",(100+((VLOOKUP(RZS_100[[#This Row],[No用]],Q_Stat[],15,FALSE)-Statistics100!D$6)*5)/Statistics100!D$13))</f>
        <v>112.3656454202615</v>
      </c>
      <c r="L191" s="11">
        <f>IF(RZS_100[[#This Row],[名前]]="","",(100+((VLOOKUP(RZS_100[[#This Row],[No用]],Q_Stat[],16,FALSE)-Statistics100!E$6)*5)/Statistics100!E$13))</f>
        <v>108.43112187745102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96.065476457189519</v>
      </c>
      <c r="O191" s="11">
        <f>IF(RZS_100[[#This Row],[名前]]="","",(100+((VLOOKUP(RZS_100[[#This Row],[No用]],Q_Stat[],19,FALSE)-Statistics100!H$6)*5)/Statistics100!H$13))</f>
        <v>102.69795900078432</v>
      </c>
      <c r="P191" s="11">
        <f>IF(RZS_100[[#This Row],[名前]]="","",(100+((VLOOKUP(RZS_100[[#This Row],[No用]],Q_Stat[],20,FALSE)-Statistics100!I$6)*5)/Statistics100!I$13))</f>
        <v>102.24829916732027</v>
      </c>
      <c r="Q191" s="11">
        <f>IF(RZS_100[[#This Row],[名前]]="","",(100+((VLOOKUP(RZS_100[[#This Row],[No用]],Q_Stat[],21,FALSE)-Statistics100!J$6)*5)/Statistics100!J$13))</f>
        <v>100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103.37244875098041</v>
      </c>
      <c r="T191" s="11">
        <f>IF(RZS_100[[#This Row],[名前]]="","",(100+((VLOOKUP(RZS_100[[#This Row],[No用]],Q_Stat[],26,FALSE)-Statistics100!M$6)*5)/Statistics100!M$13))</f>
        <v>100</v>
      </c>
      <c r="U191" s="11">
        <f>IF(RZS_100[[#This Row],[名前]]="","",(100+((VLOOKUP(RZS_100[[#This Row],[No用]],Q_Stat[],27,FALSE)-Statistics100!N$6)*5)/Statistics100!N$13))</f>
        <v>103.85422714397761</v>
      </c>
      <c r="V191" s="11">
        <f>IF(RZS_100[[#This Row],[名前]]="","",(100+((VLOOKUP(RZS_100[[#This Row],[No用]],Q_Stat[],28,FALSE)-Statistics100!O$6)*5)/Statistics100!O$13))</f>
        <v>112.3656454202615</v>
      </c>
      <c r="W191" s="11">
        <f>IF(RZS_100[[#This Row],[名前]]="","",(100+((VLOOKUP(RZS_100[[#This Row],[No用]],Q_Stat[],29,FALSE)-Statistics100!P$6)*5)/Statistics100!P$13))</f>
        <v>101.92711357198881</v>
      </c>
      <c r="X191" s="11">
        <f>IF(RZS_100[[#This Row],[名前]]="","",(100+((VLOOKUP(RZS_100[[#This Row],[No用]],Q_Stat[],30,FALSE)-Statistics100!Q$6)*5)/Statistics100!Q$13))</f>
        <v>97.976530749411751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貝掛亮文</v>
      </c>
      <c r="D192" t="str">
        <f>IFERROR(Stat[[#This Row],[じゃんけん]],"")</f>
        <v>パー</v>
      </c>
      <c r="E192" t="str">
        <f>IFERROR(Stat[[#This Row],[ポジション]],"")</f>
        <v>Li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ユニフォーム貝掛亮文ICONIC</v>
      </c>
      <c r="I192" s="11">
        <f>IF(RZS_100[[#This Row],[名前]]="","",(100+((VLOOKUP(RZS_100[[#This Row],[No用]],Q_Stat[],13,FALSE)-Statistics100!B$6)*5)/Statistics100!B$13))</f>
        <v>94.004535553812602</v>
      </c>
      <c r="J192" s="11">
        <f>IF(RZS_100[[#This Row],[名前]]="","",(100+((VLOOKUP(RZS_100[[#This Row],[No用]],Q_Stat[],14,FALSE)-Statistics100!C$6)*5)/Statistics100!C$13))</f>
        <v>91.80976731904758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91.568878122548981</v>
      </c>
      <c r="O192" s="11">
        <f>IF(RZS_100[[#This Row],[名前]]="","",(100+((VLOOKUP(RZS_100[[#This Row],[No用]],Q_Stat[],19,FALSE)-Statistics100!H$6)*5)/Statistics100!H$13))</f>
        <v>108.09387700235298</v>
      </c>
      <c r="P192" s="11">
        <f>IF(RZS_100[[#This Row],[名前]]="","",(100+((VLOOKUP(RZS_100[[#This Row],[No用]],Q_Stat[],20,FALSE)-Statistics100!I$6)*5)/Statistics100!I$13))</f>
        <v>104.49659833464055</v>
      </c>
      <c r="Q192" s="11">
        <f>IF(RZS_100[[#This Row],[名前]]="","",(100+((VLOOKUP(RZS_100[[#This Row],[No用]],Q_Stat[],21,FALSE)-Statistics100!J$6)*5)/Statistics100!J$13))</f>
        <v>106.74489750196082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97.280283265338383</v>
      </c>
      <c r="T192" s="11">
        <f>IF(RZS_100[[#This Row],[名前]]="","",(100+((VLOOKUP(RZS_100[[#This Row],[No用]],Q_Stat[],26,FALSE)-Statistics100!M$6)*5)/Statistics100!M$13))</f>
        <v>96.627551249019589</v>
      </c>
      <c r="U192" s="11">
        <f>IF(RZS_100[[#This Row],[名前]]="","",(100+((VLOOKUP(RZS_100[[#This Row],[No用]],Q_Stat[],27,FALSE)-Statistics100!N$6)*5)/Statistics100!N$13))</f>
        <v>96.627551249019589</v>
      </c>
      <c r="V192" s="11">
        <f>IF(RZS_100[[#This Row],[名前]]="","",(100+((VLOOKUP(RZS_100[[#This Row],[No用]],Q_Stat[],28,FALSE)-Statistics100!O$6)*5)/Statistics100!O$13))</f>
        <v>97.751700832679731</v>
      </c>
      <c r="W192" s="11">
        <f>IF(RZS_100[[#This Row],[名前]]="","",(100+((VLOOKUP(RZS_100[[#This Row],[No用]],Q_Stat[],29,FALSE)-Statistics100!P$6)*5)/Statistics100!P$13))</f>
        <v>109.63556785994403</v>
      </c>
      <c r="X192" s="11">
        <f>IF(RZS_100[[#This Row],[名前]]="","",(100+((VLOOKUP(RZS_100[[#This Row],[No用]],Q_Stat[],30,FALSE)-Statistics100!Q$6)*5)/Statistics100!Q$13))</f>
        <v>95.953061498823502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丸山一喜</v>
      </c>
      <c r="D193" t="str">
        <f>IFERROR(Stat[[#This Row],[じゃんけん]],"")</f>
        <v>グー</v>
      </c>
      <c r="E193" t="str">
        <f>IFERROR(Stat[[#This Row],[ポジション]],"")</f>
        <v>WS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ユニフォーム丸山一喜ICONIC</v>
      </c>
      <c r="I193" s="11">
        <f>IF(RZS_100[[#This Row],[名前]]="","",(100+((VLOOKUP(RZS_100[[#This Row],[No用]],Q_Stat[],13,FALSE)-Statistics100!B$6)*5)/Statistics100!B$13))</f>
        <v>99.250566944226577</v>
      </c>
      <c r="J193" s="11">
        <f>IF(RZS_100[[#This Row],[名前]]="","",(100+((VLOOKUP(RZS_100[[#This Row],[No用]],Q_Stat[],14,FALSE)-Statistics100!C$6)*5)/Statistics100!C$13))</f>
        <v>98.554664821008402</v>
      </c>
      <c r="K193" s="11">
        <f>IF(RZS_100[[#This Row],[名前]]="","",(100+((VLOOKUP(RZS_100[[#This Row],[No用]],Q_Stat[],15,FALSE)-Statistics100!D$6)*5)/Statistics100!D$13))</f>
        <v>98.875850416339858</v>
      </c>
      <c r="L193" s="11">
        <f>IF(RZS_100[[#This Row],[名前]]="","",(100+((VLOOKUP(RZS_100[[#This Row],[No用]],Q_Stat[],16,FALSE)-Statistics100!E$6)*5)/Statistics100!E$13))</f>
        <v>96.627551249019589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101.6862243754902</v>
      </c>
      <c r="O193" s="11">
        <f>IF(RZS_100[[#This Row],[名前]]="","",(100+((VLOOKUP(RZS_100[[#This Row],[No用]],Q_Stat[],19,FALSE)-Statistics100!H$6)*5)/Statistics100!H$13))</f>
        <v>100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100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98.585747297975956</v>
      </c>
      <c r="T193" s="11">
        <f>IF(RZS_100[[#This Row],[名前]]="","",(100+((VLOOKUP(RZS_100[[#This Row],[No用]],Q_Stat[],26,FALSE)-Statistics100!M$6)*5)/Statistics100!M$13))</f>
        <v>101.34897950039216</v>
      </c>
      <c r="U193" s="11">
        <f>IF(RZS_100[[#This Row],[名前]]="","",(100+((VLOOKUP(RZS_100[[#This Row],[No用]],Q_Stat[],27,FALSE)-Statistics100!N$6)*5)/Statistics100!N$13))</f>
        <v>99.036443214005601</v>
      </c>
      <c r="V193" s="11">
        <f>IF(RZS_100[[#This Row],[名前]]="","",(100+((VLOOKUP(RZS_100[[#This Row],[No用]],Q_Stat[],28,FALSE)-Statistics100!O$6)*5)/Statistics100!O$13))</f>
        <v>98.875850416339858</v>
      </c>
      <c r="W193" s="11">
        <f>IF(RZS_100[[#This Row],[名前]]="","",(100+((VLOOKUP(RZS_100[[#This Row],[No用]],Q_Stat[],29,FALSE)-Statistics100!P$6)*5)/Statistics100!P$13))</f>
        <v>100</v>
      </c>
      <c r="X193" s="11">
        <f>IF(RZS_100[[#This Row],[名前]]="","",(100+((VLOOKUP(RZS_100[[#This Row],[No用]],Q_Stat[],30,FALSE)-Statistics100!Q$6)*5)/Statistics100!Q$13))</f>
        <v>101.34897950039216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舞子侑志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ユニフォーム舞子侑志ICONIC</v>
      </c>
      <c r="I194" s="11">
        <f>IF(RZS_100[[#This Row],[名前]]="","",(100+((VLOOKUP(RZS_100[[#This Row],[No用]],Q_Stat[],13,FALSE)-Statistics100!B$6)*5)/Statistics100!B$13))</f>
        <v>99.250566944226577</v>
      </c>
      <c r="J194" s="11">
        <f>IF(RZS_100[[#This Row],[名前]]="","",(100+((VLOOKUP(RZS_100[[#This Row],[No用]],Q_Stat[],14,FALSE)-Statistics100!C$6)*5)/Statistics100!C$13))</f>
        <v>94.700437677030777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96.627551249019589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100.56207479183007</v>
      </c>
      <c r="O194" s="11">
        <f>IF(RZS_100[[#This Row],[名前]]="","",(100+((VLOOKUP(RZS_100[[#This Row],[No用]],Q_Stat[],19,FALSE)-Statistics100!H$6)*5)/Statistics100!H$13))</f>
        <v>101.34897950039216</v>
      </c>
      <c r="P194" s="11">
        <f>IF(RZS_100[[#This Row],[名前]]="","",(100+((VLOOKUP(RZS_100[[#This Row],[No用]],Q_Stat[],20,FALSE)-Statistics100!I$6)*5)/Statistics100!I$13))</f>
        <v>100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97.49786060411131</v>
      </c>
      <c r="T194" s="11">
        <f>IF(RZS_100[[#This Row],[名前]]="","",(100+((VLOOKUP(RZS_100[[#This Row],[No用]],Q_Stat[],26,FALSE)-Statistics100!M$6)*5)/Statistics100!M$13))</f>
        <v>98.651020499607839</v>
      </c>
      <c r="U194" s="11">
        <f>IF(RZS_100[[#This Row],[名前]]="","",(100+((VLOOKUP(RZS_100[[#This Row],[No用]],Q_Stat[],27,FALSE)-Statistics100!N$6)*5)/Statistics100!N$13))</f>
        <v>95.182216070027991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100.9635567859944</v>
      </c>
      <c r="X194" s="11">
        <f>IF(RZS_100[[#This Row],[名前]]="","",(100+((VLOOKUP(RZS_100[[#This Row],[No用]],Q_Stat[],30,FALSE)-Statistics100!Q$6)*5)/Statistics100!Q$13))</f>
        <v>100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寺泊基希</v>
      </c>
      <c r="D195" t="str">
        <f>IFERROR(Stat[[#This Row],[じゃんけん]],"")</f>
        <v>パー</v>
      </c>
      <c r="E195" t="str">
        <f>IFERROR(Stat[[#This Row],[ポジション]],"")</f>
        <v>WS</v>
      </c>
      <c r="F195" t="str">
        <f>IFERROR(Stat[[#This Row],[高校]],"")</f>
        <v>椿原</v>
      </c>
      <c r="G195" t="str">
        <f>IFERROR(Stat[[#This Row],[レアリティ]],"")</f>
        <v>ICONIC</v>
      </c>
      <c r="H195" t="str">
        <f>IFERROR(SetNo[[#This Row],[No.用]],"")</f>
        <v>ユニフォーム寺泊基希ICONIC</v>
      </c>
      <c r="I195" s="11">
        <f>IF(RZS_100[[#This Row],[名前]]="","",(100+((VLOOKUP(RZS_100[[#This Row],[No用]],Q_Stat[],13,FALSE)-Statistics100!B$6)*5)/Statistics100!B$13))</f>
        <v>104.49659833464055</v>
      </c>
      <c r="J195" s="11">
        <f>IF(RZS_100[[#This Row],[名前]]="","",(100+((VLOOKUP(RZS_100[[#This Row],[No用]],Q_Stat[],14,FALSE)-Statistics100!C$6)*5)/Statistics100!C$13))</f>
        <v>97.591108035013988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96.627551249019589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99.437925208169929</v>
      </c>
      <c r="O195" s="11">
        <f>IF(RZS_100[[#This Row],[名前]]="","",(100+((VLOOKUP(RZS_100[[#This Row],[No用]],Q_Stat[],19,FALSE)-Statistics100!H$6)*5)/Statistics100!H$13))</f>
        <v>95.953061498823502</v>
      </c>
      <c r="P195" s="11">
        <f>IF(RZS_100[[#This Row],[名前]]="","",(100+((VLOOKUP(RZS_100[[#This Row],[No用]],Q_Stat[],20,FALSE)-Statistics100!I$6)*5)/Statistics100!I$13))</f>
        <v>102.24829916732027</v>
      </c>
      <c r="Q195" s="11">
        <f>IF(RZS_100[[#This Row],[名前]]="","",(100+((VLOOKUP(RZS_100[[#This Row],[No用]],Q_Stat[],21,FALSE)-Statistics100!J$6)*5)/Statistics100!J$13))</f>
        <v>98.313775624509802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97.49786060411131</v>
      </c>
      <c r="T195" s="11">
        <f>IF(RZS_100[[#This Row],[名前]]="","",(100+((VLOOKUP(RZS_100[[#This Row],[No用]],Q_Stat[],26,FALSE)-Statistics100!M$6)*5)/Statistics100!M$13))</f>
        <v>103.37244875098041</v>
      </c>
      <c r="U195" s="11">
        <f>IF(RZS_100[[#This Row],[名前]]="","",(100+((VLOOKUP(RZS_100[[#This Row],[No用]],Q_Stat[],27,FALSE)-Statistics100!N$6)*5)/Statistics100!N$13))</f>
        <v>96.627551249019589</v>
      </c>
      <c r="V195" s="11">
        <f>IF(RZS_100[[#This Row],[名前]]="","",(100+((VLOOKUP(RZS_100[[#This Row],[No用]],Q_Stat[],28,FALSE)-Statistics100!O$6)*5)/Statistics100!O$13))</f>
        <v>97.751700832679731</v>
      </c>
      <c r="W195" s="11">
        <f>IF(RZS_100[[#This Row],[名前]]="","",(100+((VLOOKUP(RZS_100[[#This Row],[No用]],Q_Stat[],29,FALSE)-Statistics100!P$6)*5)/Statistics100!P$13))</f>
        <v>96.14577285602239</v>
      </c>
      <c r="X195" s="11">
        <f>IF(RZS_100[[#This Row],[名前]]="","",(100+((VLOOKUP(RZS_100[[#This Row],[No用]],Q_Stat[],30,FALSE)-Statistics100!Q$6)*5)/Statistics100!Q$13))</f>
        <v>100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星海光来</v>
      </c>
      <c r="D196" t="str">
        <f>IFERROR(Stat[[#This Row],[じゃんけん]],"")</f>
        <v>チョキ</v>
      </c>
      <c r="E196" t="str">
        <f>IFERROR(Stat[[#This Row],[ポジション]],"")</f>
        <v>WS</v>
      </c>
      <c r="F196" t="str">
        <f>IFERROR(Stat[[#This Row],[高校]],"")</f>
        <v>鴎台</v>
      </c>
      <c r="G196" t="str">
        <f>IFERROR(Stat[[#This Row],[レアリティ]],"")</f>
        <v>ICONIC</v>
      </c>
      <c r="H196" t="str">
        <f>IFERROR(SetNo[[#This Row],[No.用]],"")</f>
        <v>ユニフォーム星海光来ICONIC</v>
      </c>
      <c r="I196" s="11">
        <f>IF(RZS_100[[#This Row],[名前]]="","",(100+((VLOOKUP(RZS_100[[#This Row],[No用]],Q_Stat[],13,FALSE)-Statistics100!B$6)*5)/Statistics100!B$13))</f>
        <v>106.74489750196082</v>
      </c>
      <c r="J196" s="11">
        <f>IF(RZS_100[[#This Row],[名前]]="","",(100+((VLOOKUP(RZS_100[[#This Row],[No用]],Q_Stat[],14,FALSE)-Statistics100!C$6)*5)/Statistics100!C$13))</f>
        <v>106.26311910896362</v>
      </c>
      <c r="K196" s="11">
        <f>IF(RZS_100[[#This Row],[名前]]="","",(100+((VLOOKUP(RZS_100[[#This Row],[No用]],Q_Stat[],15,FALSE)-Statistics100!D$6)*5)/Statistics100!D$13))</f>
        <v>101.12414958366014</v>
      </c>
      <c r="L196" s="11">
        <f>IF(RZS_100[[#This Row],[名前]]="","",(100+((VLOOKUP(RZS_100[[#This Row],[No用]],Q_Stat[],16,FALSE)-Statistics100!E$6)*5)/Statistics100!E$13))</f>
        <v>100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100.56207479183007</v>
      </c>
      <c r="O196" s="11">
        <f>IF(RZS_100[[#This Row],[名前]]="","",(100+((VLOOKUP(RZS_100[[#This Row],[No用]],Q_Stat[],19,FALSE)-Statistics100!H$6)*5)/Statistics100!H$13))</f>
        <v>101.34897950039216</v>
      </c>
      <c r="P196" s="11">
        <f>IF(RZS_100[[#This Row],[名前]]="","",(100+((VLOOKUP(RZS_100[[#This Row],[No用]],Q_Stat[],20,FALSE)-Statistics100!I$6)*5)/Statistics100!I$13))</f>
        <v>120.23469250588246</v>
      </c>
      <c r="Q196" s="11">
        <f>IF(RZS_100[[#This Row],[名前]]="","",(100+((VLOOKUP(RZS_100[[#This Row],[No用]],Q_Stat[],21,FALSE)-Statistics100!J$6)*5)/Statistics100!J$13))</f>
        <v>106.74489750196082</v>
      </c>
      <c r="R196" s="11">
        <f>IF(RZS_100[[#This Row],[名前]]="","",(100+((VLOOKUP(RZS_100[[#This Row],[No用]],Q_Stat[],22,FALSE)-Statistics100!K$6)*5)/Statistics100!K$13))</f>
        <v>100</v>
      </c>
      <c r="S196" s="11">
        <f>IF(RZS_100[[#This Row],[名前]]="","",(100+((VLOOKUP(RZS_100[[#This Row],[No用]],Q_Stat[],25,FALSE)-Statistics100!L$6)*5)/Statistics100!L$13))</f>
        <v>105.98337681625557</v>
      </c>
      <c r="T196" s="11">
        <f>IF(RZS_100[[#This Row],[名前]]="","",(100+((VLOOKUP(RZS_100[[#This Row],[No用]],Q_Stat[],26,FALSE)-Statistics100!M$6)*5)/Statistics100!M$13))</f>
        <v>108.09387700235298</v>
      </c>
      <c r="U196" s="11">
        <f>IF(RZS_100[[#This Row],[名前]]="","",(100+((VLOOKUP(RZS_100[[#This Row],[No用]],Q_Stat[],27,FALSE)-Statistics100!N$6)*5)/Statistics100!N$13))</f>
        <v>103.85422714397761</v>
      </c>
      <c r="V196" s="11">
        <f>IF(RZS_100[[#This Row],[名前]]="","",(100+((VLOOKUP(RZS_100[[#This Row],[No用]],Q_Stat[],28,FALSE)-Statistics100!O$6)*5)/Statistics100!O$13))</f>
        <v>101.12414958366014</v>
      </c>
      <c r="W196" s="11">
        <f>IF(RZS_100[[#This Row],[名前]]="","",(100+((VLOOKUP(RZS_100[[#This Row],[No用]],Q_Stat[],29,FALSE)-Statistics100!P$6)*5)/Statistics100!P$13))</f>
        <v>104.81778392997201</v>
      </c>
      <c r="X196" s="11">
        <f>IF(RZS_100[[#This Row],[名前]]="","",(100+((VLOOKUP(RZS_100[[#This Row],[No用]],Q_Stat[],30,FALSE)-Statistics100!Q$6)*5)/Statistics100!Q$13))</f>
        <v>106.07040775176473</v>
      </c>
    </row>
    <row r="197" spans="1:24" x14ac:dyDescent="0.35">
      <c r="A197">
        <f>IFERROR(Stat[[#This Row],[No.]],"")</f>
        <v>196</v>
      </c>
      <c r="B197" t="str">
        <f>IFERROR(Stat[[#This Row],[服装]],"")</f>
        <v>文化祭</v>
      </c>
      <c r="C197" t="str">
        <f>IFERROR(Stat[[#This Row],[名前]],"")</f>
        <v>星海光来</v>
      </c>
      <c r="D197" t="str">
        <f>IFERROR(Stat[[#This Row],[じゃんけん]],"")</f>
        <v>グー</v>
      </c>
      <c r="E197" t="str">
        <f>IFERROR(Stat[[#This Row],[ポジション]],"")</f>
        <v>WS</v>
      </c>
      <c r="F197" t="str">
        <f>IFERROR(Stat[[#This Row],[高校]],"")</f>
        <v>鴎台</v>
      </c>
      <c r="G197" t="str">
        <f>IFERROR(Stat[[#This Row],[レアリティ]],"")</f>
        <v>ICONIC</v>
      </c>
      <c r="H197" t="str">
        <f>IFERROR(SetNo[[#This Row],[No.用]],"")</f>
        <v>文化祭星海光来ICONIC</v>
      </c>
      <c r="I197" s="11">
        <f>IF(RZS_100[[#This Row],[名前]]="","",(100+((VLOOKUP(RZS_100[[#This Row],[No用]],Q_Stat[],13,FALSE)-Statistics100!B$6)*5)/Statistics100!B$13))</f>
        <v>108.99319666928109</v>
      </c>
      <c r="J197" s="11">
        <f>IF(RZS_100[[#This Row],[名前]]="","",(100+((VLOOKUP(RZS_100[[#This Row],[No用]],Q_Stat[],14,FALSE)-Statistics100!C$6)*5)/Statistics100!C$13))</f>
        <v>109.15378946694682</v>
      </c>
      <c r="K197" s="11">
        <f>IF(RZS_100[[#This Row],[名前]]="","",(100+((VLOOKUP(RZS_100[[#This Row],[No用]],Q_Stat[],15,FALSE)-Statistics100!D$6)*5)/Statistics100!D$13))</f>
        <v>102.24829916732027</v>
      </c>
      <c r="L197" s="11">
        <f>IF(RZS_100[[#This Row],[名前]]="","",(100+((VLOOKUP(RZS_100[[#This Row],[No用]],Q_Stat[],16,FALSE)-Statistics100!E$6)*5)/Statistics100!E$13))</f>
        <v>101.6862243754902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101.6862243754902</v>
      </c>
      <c r="O197" s="11">
        <f>IF(RZS_100[[#This Row],[名前]]="","",(100+((VLOOKUP(RZS_100[[#This Row],[No用]],Q_Stat[],19,FALSE)-Statistics100!H$6)*5)/Statistics100!H$13))</f>
        <v>102.69795900078432</v>
      </c>
      <c r="P197" s="11">
        <f>IF(RZS_100[[#This Row],[名前]]="","",(100+((VLOOKUP(RZS_100[[#This Row],[No用]],Q_Stat[],20,FALSE)-Statistics100!I$6)*5)/Statistics100!I$13))</f>
        <v>126.97959000784329</v>
      </c>
      <c r="Q197" s="11">
        <f>IF(RZS_100[[#This Row],[名前]]="","",(100+((VLOOKUP(RZS_100[[#This Row],[No用]],Q_Stat[],21,FALSE)-Statistics100!J$6)*5)/Statistics100!J$13))</f>
        <v>108.43112187745102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109.02945955907659</v>
      </c>
      <c r="T197" s="11">
        <f>IF(RZS_100[[#This Row],[名前]]="","",(100+((VLOOKUP(RZS_100[[#This Row],[No用]],Q_Stat[],26,FALSE)-Statistics100!M$6)*5)/Statistics100!M$13))</f>
        <v>110.11734625294123</v>
      </c>
      <c r="U197" s="11">
        <f>IF(RZS_100[[#This Row],[名前]]="","",(100+((VLOOKUP(RZS_100[[#This Row],[No用]],Q_Stat[],27,FALSE)-Statistics100!N$6)*5)/Statistics100!N$13))</f>
        <v>105.78134071596642</v>
      </c>
      <c r="V197" s="11">
        <f>IF(RZS_100[[#This Row],[名前]]="","",(100+((VLOOKUP(RZS_100[[#This Row],[No用]],Q_Stat[],28,FALSE)-Statistics100!O$6)*5)/Statistics100!O$13))</f>
        <v>102.24829916732027</v>
      </c>
      <c r="W197" s="11">
        <f>IF(RZS_100[[#This Row],[名前]]="","",(100+((VLOOKUP(RZS_100[[#This Row],[No用]],Q_Stat[],29,FALSE)-Statistics100!P$6)*5)/Statistics100!P$13))</f>
        <v>106.74489750196082</v>
      </c>
      <c r="X197" s="11">
        <f>IF(RZS_100[[#This Row],[名前]]="","",(100+((VLOOKUP(RZS_100[[#This Row],[No用]],Q_Stat[],30,FALSE)-Statistics100!Q$6)*5)/Statistics100!Q$13))</f>
        <v>108.76836675254907</v>
      </c>
    </row>
    <row r="198" spans="1:24" x14ac:dyDescent="0.35">
      <c r="A198">
        <f>IFERROR(Stat[[#This Row],[No.]],"")</f>
        <v>197</v>
      </c>
      <c r="B198" t="str">
        <f>IFERROR(Stat[[#This Row],[服装]],"")</f>
        <v>サバゲ</v>
      </c>
      <c r="C198" t="str">
        <f>IFERROR(Stat[[#This Row],[名前]],"")</f>
        <v>星海光来</v>
      </c>
      <c r="D198" t="str">
        <f>IFERROR(Stat[[#This Row],[じゃんけん]],"")</f>
        <v>パー</v>
      </c>
      <c r="E198" t="str">
        <f>IFERROR(Stat[[#This Row],[ポジション]],"")</f>
        <v>WS</v>
      </c>
      <c r="F198" t="str">
        <f>IFERROR(Stat[[#This Row],[高校]],"")</f>
        <v>鴎台</v>
      </c>
      <c r="G198" t="str">
        <f>IFERROR(Stat[[#This Row],[レアリティ]],"")</f>
        <v>ICONIC</v>
      </c>
      <c r="H198" t="str">
        <f>IFERROR(SetNo[[#This Row],[No.用]],"")</f>
        <v>サバゲ星海光来ICONIC</v>
      </c>
      <c r="I198" s="11">
        <f>IF(RZS_100[[#This Row],[名前]]="","",(100+((VLOOKUP(RZS_100[[#This Row],[No用]],Q_Stat[],13,FALSE)-Statistics100!B$6)*5)/Statistics100!B$13))</f>
        <v>108.24376361350767</v>
      </c>
      <c r="J198" s="11">
        <f>IF(RZS_100[[#This Row],[名前]]="","",(100+((VLOOKUP(RZS_100[[#This Row],[No用]],Q_Stat[],14,FALSE)-Statistics100!C$6)*5)/Statistics100!C$13))</f>
        <v>111.08090303893563</v>
      </c>
      <c r="K198" s="11">
        <f>IF(RZS_100[[#This Row],[名前]]="","",(100+((VLOOKUP(RZS_100[[#This Row],[No用]],Q_Stat[],15,FALSE)-Statistics100!D$6)*5)/Statistics100!D$13))</f>
        <v>101.12414958366014</v>
      </c>
      <c r="L198" s="11">
        <f>IF(RZS_100[[#This Row],[名前]]="","",(100+((VLOOKUP(RZS_100[[#This Row],[No用]],Q_Stat[],16,FALSE)-Statistics100!E$6)*5)/Statistics100!E$13))</f>
        <v>103.37244875098041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99.437925208169929</v>
      </c>
      <c r="O198" s="11">
        <f>IF(RZS_100[[#This Row],[名前]]="","",(100+((VLOOKUP(RZS_100[[#This Row],[No用]],Q_Stat[],19,FALSE)-Statistics100!H$6)*5)/Statistics100!H$13))</f>
        <v>105.39591800156866</v>
      </c>
      <c r="P198" s="11">
        <f>IF(RZS_100[[#This Row],[名前]]="","",(100+((VLOOKUP(RZS_100[[#This Row],[No用]],Q_Stat[],20,FALSE)-Statistics100!I$6)*5)/Statistics100!I$13))</f>
        <v>124.731290840523</v>
      </c>
      <c r="Q198" s="11">
        <f>IF(RZS_100[[#This Row],[名前]]="","",(100+((VLOOKUP(RZS_100[[#This Row],[No用]],Q_Stat[],21,FALSE)-Statistics100!J$6)*5)/Statistics100!J$13))</f>
        <v>110.11734625294123</v>
      </c>
      <c r="R198" s="11">
        <f>IF(RZS_100[[#This Row],[名前]]="","",(100+((VLOOKUP(RZS_100[[#This Row],[No用]],Q_Stat[],22,FALSE)-Statistics100!K$6)*5)/Statistics100!K$13))</f>
        <v>100</v>
      </c>
      <c r="S198" s="11">
        <f>IF(RZS_100[[#This Row],[名前]]="","",(100+((VLOOKUP(RZS_100[[#This Row],[No用]],Q_Stat[],25,FALSE)-Statistics100!L$6)*5)/Statistics100!L$13))</f>
        <v>109.24703689784951</v>
      </c>
      <c r="T198" s="11">
        <f>IF(RZS_100[[#This Row],[名前]]="","",(100+((VLOOKUP(RZS_100[[#This Row],[No用]],Q_Stat[],26,FALSE)-Statistics100!M$6)*5)/Statistics100!M$13))</f>
        <v>109.44285650274514</v>
      </c>
      <c r="U198" s="11">
        <f>IF(RZS_100[[#This Row],[名前]]="","",(100+((VLOOKUP(RZS_100[[#This Row],[No用]],Q_Stat[],27,FALSE)-Statistics100!N$6)*5)/Statistics100!N$13))</f>
        <v>107.22667589495802</v>
      </c>
      <c r="V198" s="11">
        <f>IF(RZS_100[[#This Row],[名前]]="","",(100+((VLOOKUP(RZS_100[[#This Row],[No用]],Q_Stat[],28,FALSE)-Statistics100!O$6)*5)/Statistics100!O$13))</f>
        <v>101.12414958366014</v>
      </c>
      <c r="W198" s="11">
        <f>IF(RZS_100[[#This Row],[名前]]="","",(100+((VLOOKUP(RZS_100[[#This Row],[No用]],Q_Stat[],29,FALSE)-Statistics100!P$6)*5)/Statistics100!P$13))</f>
        <v>109.63556785994403</v>
      </c>
      <c r="X198" s="11">
        <f>IF(RZS_100[[#This Row],[名前]]="","",(100+((VLOOKUP(RZS_100[[#This Row],[No用]],Q_Stat[],30,FALSE)-Statistics100!Q$6)*5)/Statistics100!Q$13))</f>
        <v>106.74489750196082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昼神幸郎</v>
      </c>
      <c r="D199" t="str">
        <f>IFERROR(Stat[[#This Row],[じゃんけん]],"")</f>
        <v>チョキ</v>
      </c>
      <c r="E199" t="str">
        <f>IFERROR(Stat[[#This Row],[ポジション]],"")</f>
        <v>MB</v>
      </c>
      <c r="F199" t="str">
        <f>IFERROR(Stat[[#This Row],[高校]],"")</f>
        <v>鴎台</v>
      </c>
      <c r="G199" t="str">
        <f>IFERROR(Stat[[#This Row],[レアリティ]],"")</f>
        <v>ICONIC</v>
      </c>
      <c r="H199" t="str">
        <f>IFERROR(SetNo[[#This Row],[No.用]],"")</f>
        <v>ユニフォーム昼神幸郎ICONIC</v>
      </c>
      <c r="I199" s="11">
        <f>IF(RZS_100[[#This Row],[名前]]="","",(100+((VLOOKUP(RZS_100[[#This Row],[No用]],Q_Stat[],13,FALSE)-Statistics100!B$6)*5)/Statistics100!B$13))</f>
        <v>102.99773222309369</v>
      </c>
      <c r="J199" s="11">
        <f>IF(RZS_100[[#This Row],[名前]]="","",(100+((VLOOKUP(RZS_100[[#This Row],[No用]],Q_Stat[],14,FALSE)-Statistics100!C$6)*5)/Statistics100!C$13))</f>
        <v>103.37244875098041</v>
      </c>
      <c r="K199" s="11">
        <f>IF(RZS_100[[#This Row],[名前]]="","",(100+((VLOOKUP(RZS_100[[#This Row],[No用]],Q_Stat[],15,FALSE)-Statistics100!D$6)*5)/Statistics100!D$13))</f>
        <v>97.751700832679731</v>
      </c>
      <c r="L199" s="11">
        <f>IF(RZS_100[[#This Row],[名前]]="","",(100+((VLOOKUP(RZS_100[[#This Row],[No用]],Q_Stat[],16,FALSE)-Statistics100!E$6)*5)/Statistics100!E$13))</f>
        <v>100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115.17601937941184</v>
      </c>
      <c r="O199" s="11">
        <f>IF(RZS_100[[#This Row],[名前]]="","",(100+((VLOOKUP(RZS_100[[#This Row],[No用]],Q_Stat[],19,FALSE)-Statistics100!H$6)*5)/Statistics100!H$13))</f>
        <v>97.302040999215677</v>
      </c>
      <c r="P199" s="11">
        <f>IF(RZS_100[[#This Row],[名前]]="","",(100+((VLOOKUP(RZS_100[[#This Row],[No用]],Q_Stat[],20,FALSE)-Statistics100!I$6)*5)/Statistics100!I$13))</f>
        <v>95.503401665359448</v>
      </c>
      <c r="Q199" s="11">
        <f>IF(RZS_100[[#This Row],[名前]]="","",(100+((VLOOKUP(RZS_100[[#This Row],[No用]],Q_Stat[],21,FALSE)-Statistics100!J$6)*5)/Statistics100!J$13))</f>
        <v>100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103.59002608975334</v>
      </c>
      <c r="T199" s="11">
        <f>IF(RZS_100[[#This Row],[名前]]="","",(100+((VLOOKUP(RZS_100[[#This Row],[No用]],Q_Stat[],26,FALSE)-Statistics100!M$6)*5)/Statistics100!M$13))</f>
        <v>104.72142825137257</v>
      </c>
      <c r="U199" s="11">
        <f>IF(RZS_100[[#This Row],[名前]]="","",(100+((VLOOKUP(RZS_100[[#This Row],[No用]],Q_Stat[],27,FALSE)-Statistics100!N$6)*5)/Statistics100!N$13))</f>
        <v>102.40889196498601</v>
      </c>
      <c r="V199" s="11">
        <f>IF(RZS_100[[#This Row],[名前]]="","",(100+((VLOOKUP(RZS_100[[#This Row],[No用]],Q_Stat[],28,FALSE)-Statistics100!O$6)*5)/Statistics100!O$13))</f>
        <v>97.751700832679731</v>
      </c>
      <c r="W199" s="11">
        <f>IF(RZS_100[[#This Row],[名前]]="","",(100+((VLOOKUP(RZS_100[[#This Row],[No用]],Q_Stat[],29,FALSE)-Statistics100!P$6)*5)/Statistics100!P$13))</f>
        <v>98.072886428011188</v>
      </c>
      <c r="X199" s="11">
        <f>IF(RZS_100[[#This Row],[名前]]="","",(100+((VLOOKUP(RZS_100[[#This Row],[No用]],Q_Stat[],30,FALSE)-Statistics100!Q$6)*5)/Statistics100!Q$13))</f>
        <v>107.41938725215689</v>
      </c>
    </row>
    <row r="200" spans="1:24" x14ac:dyDescent="0.35">
      <c r="A200">
        <f>IFERROR(Stat[[#This Row],[No.]],"")</f>
        <v>199</v>
      </c>
      <c r="B200" t="str">
        <f>IFERROR(Stat[[#This Row],[服装]],"")</f>
        <v>Xmas</v>
      </c>
      <c r="C200" t="str">
        <f>IFERROR(Stat[[#This Row],[名前]],"")</f>
        <v>昼神幸郎</v>
      </c>
      <c r="D200" t="str">
        <f>IFERROR(Stat[[#This Row],[じゃんけん]],"")</f>
        <v>グー</v>
      </c>
      <c r="E200" t="str">
        <f>IFERROR(Stat[[#This Row],[ポジション]],"")</f>
        <v>MB</v>
      </c>
      <c r="F200" t="str">
        <f>IFERROR(Stat[[#This Row],[高校]],"")</f>
        <v>鴎台</v>
      </c>
      <c r="G200" t="str">
        <f>IFERROR(Stat[[#This Row],[レアリティ]],"")</f>
        <v>ICONIC</v>
      </c>
      <c r="H200" t="str">
        <f>IFERROR(SetNo[[#This Row],[No.用]],"")</f>
        <v>Xmas昼神幸郎ICONIC</v>
      </c>
      <c r="I200" s="11">
        <f>IF(RZS_100[[#This Row],[名前]]="","",(100+((VLOOKUP(RZS_100[[#This Row],[No用]],Q_Stat[],13,FALSE)-Statistics100!B$6)*5)/Statistics100!B$13))</f>
        <v>105.24603139041398</v>
      </c>
      <c r="J200" s="11">
        <f>IF(RZS_100[[#This Row],[名前]]="","",(100+((VLOOKUP(RZS_100[[#This Row],[No用]],Q_Stat[],14,FALSE)-Statistics100!C$6)*5)/Statistics100!C$13))</f>
        <v>104.33600553697481</v>
      </c>
      <c r="K200" s="11">
        <f>IF(RZS_100[[#This Row],[名前]]="","",(100+((VLOOKUP(RZS_100[[#This Row],[No用]],Q_Stat[],15,FALSE)-Statistics100!D$6)*5)/Statistics100!D$13))</f>
        <v>98.875850416339858</v>
      </c>
      <c r="L200" s="11">
        <f>IF(RZS_100[[#This Row],[名前]]="","",(100+((VLOOKUP(RZS_100[[#This Row],[No用]],Q_Stat[],16,FALSE)-Statistics100!E$6)*5)/Statistics100!E$13))</f>
        <v>101.6862243754902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118.54846813039225</v>
      </c>
      <c r="O200" s="11">
        <f>IF(RZS_100[[#This Row],[名前]]="","",(100+((VLOOKUP(RZS_100[[#This Row],[No用]],Q_Stat[],19,FALSE)-Statistics100!H$6)*5)/Statistics100!H$13))</f>
        <v>98.651020499607839</v>
      </c>
      <c r="P200" s="11">
        <f>IF(RZS_100[[#This Row],[名前]]="","",(100+((VLOOKUP(RZS_100[[#This Row],[No用]],Q_Stat[],20,FALSE)-Statistics100!I$6)*5)/Statistics100!I$13))</f>
        <v>102.24829916732027</v>
      </c>
      <c r="Q200" s="11">
        <f>IF(RZS_100[[#This Row],[名前]]="","",(100+((VLOOKUP(RZS_100[[#This Row],[No用]],Q_Stat[],21,FALSE)-Statistics100!J$6)*5)/Statistics100!J$13))</f>
        <v>101.6862243754902</v>
      </c>
      <c r="R200" s="11">
        <f>IF(RZS_100[[#This Row],[名前]]="","",(100+((VLOOKUP(RZS_100[[#This Row],[No用]],Q_Stat[],22,FALSE)-Statistics100!K$6)*5)/Statistics100!K$13))</f>
        <v>103.37244875098041</v>
      </c>
      <c r="S200" s="11">
        <f>IF(RZS_100[[#This Row],[名前]]="","",(100+((VLOOKUP(RZS_100[[#This Row],[No用]],Q_Stat[],25,FALSE)-Statistics100!L$6)*5)/Statistics100!L$13))</f>
        <v>106.63610883257435</v>
      </c>
      <c r="T200" s="11">
        <f>IF(RZS_100[[#This Row],[名前]]="","",(100+((VLOOKUP(RZS_100[[#This Row],[No用]],Q_Stat[],26,FALSE)-Statistics100!M$6)*5)/Statistics100!M$13))</f>
        <v>106.74489750196082</v>
      </c>
      <c r="U200" s="11">
        <f>IF(RZS_100[[#This Row],[名前]]="","",(100+((VLOOKUP(RZS_100[[#This Row],[No用]],Q_Stat[],27,FALSE)-Statistics100!N$6)*5)/Statistics100!N$13))</f>
        <v>103.37244875098041</v>
      </c>
      <c r="V200" s="11">
        <f>IF(RZS_100[[#This Row],[名前]]="","",(100+((VLOOKUP(RZS_100[[#This Row],[No用]],Q_Stat[],28,FALSE)-Statistics100!O$6)*5)/Statistics100!O$13))</f>
        <v>98.875850416339858</v>
      </c>
      <c r="W200" s="11">
        <f>IF(RZS_100[[#This Row],[名前]]="","",(100+((VLOOKUP(RZS_100[[#This Row],[No用]],Q_Stat[],29,FALSE)-Statistics100!P$6)*5)/Statistics100!P$13))</f>
        <v>100</v>
      </c>
      <c r="X200" s="11">
        <f>IF(RZS_100[[#This Row],[名前]]="","",(100+((VLOOKUP(RZS_100[[#This Row],[No用]],Q_Stat[],30,FALSE)-Statistics100!Q$6)*5)/Statistics100!Q$13))</f>
        <v>111.46632575333339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佐久早聖臣</v>
      </c>
      <c r="D201" t="str">
        <f>IFERROR(Stat[[#This Row],[じゃんけん]],"")</f>
        <v>チョキ</v>
      </c>
      <c r="E201" t="str">
        <f>IFERROR(Stat[[#This Row],[ポジション]],"")</f>
        <v>WS</v>
      </c>
      <c r="F201" t="str">
        <f>IFERROR(Stat[[#This Row],[高校]],"")</f>
        <v>井闥山</v>
      </c>
      <c r="G201" t="str">
        <f>IFERROR(Stat[[#This Row],[レアリティ]],"")</f>
        <v>ICONIC</v>
      </c>
      <c r="H201" t="str">
        <f>IFERROR(SetNo[[#This Row],[No.用]],"")</f>
        <v>ユニフォーム佐久早聖臣ICONIC</v>
      </c>
      <c r="I201" s="11">
        <f>IF(RZS_100[[#This Row],[名前]]="","",(100+((VLOOKUP(RZS_100[[#This Row],[No用]],Q_Stat[],13,FALSE)-Statistics100!B$6)*10)/Statistics100!B$13))</f>
        <v>111.9909288923748</v>
      </c>
      <c r="J201" s="11">
        <f>IF(RZS_100[[#This Row],[名前]]="","",(100+((VLOOKUP(RZS_100[[#This Row],[No用]],Q_Stat[],14,FALSE)-Statistics100!C$6)*10)/Statistics100!C$13))</f>
        <v>114.45335178991604</v>
      </c>
      <c r="K201" s="11">
        <f>IF(RZS_100[[#This Row],[名前]]="","",(100+((VLOOKUP(RZS_100[[#This Row],[No用]],Q_Stat[],15,FALSE)-Statistics100!D$6)*10)/Statistics100!D$13))</f>
        <v>100</v>
      </c>
      <c r="L201" s="11">
        <f>IF(RZS_100[[#This Row],[名前]]="","",(100+((VLOOKUP(RZS_100[[#This Row],[No用]],Q_Stat[],16,FALSE)-Statistics100!E$6)*10)/Statistics100!E$13))</f>
        <v>100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101.12414958366014</v>
      </c>
      <c r="O201" s="11">
        <f>IF(RZS_100[[#This Row],[名前]]="","",(100+((VLOOKUP(RZS_100[[#This Row],[No用]],Q_Stat[],19,FALSE)-Statistics100!H$6)*10)/Statistics100!H$13))</f>
        <v>116.18775400470597</v>
      </c>
      <c r="P201" s="11">
        <f>IF(RZS_100[[#This Row],[名前]]="","",(100+((VLOOKUP(RZS_100[[#This Row],[No用]],Q_Stat[],20,FALSE)-Statistics100!I$6)*10)/Statistics100!I$13))</f>
        <v>108.99319666928109</v>
      </c>
      <c r="Q201" s="11">
        <f>IF(RZS_100[[#This Row],[名前]]="","",(100+((VLOOKUP(RZS_100[[#This Row],[No用]],Q_Stat[],21,FALSE)-Statistics100!J$6)*10)/Statistics100!J$13))</f>
        <v>110.11734625294123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112.401908310057</v>
      </c>
      <c r="T201" s="11">
        <f>IF(RZS_100[[#This Row],[名前]]="","",(100+((VLOOKUP(RZS_100[[#This Row],[No用]],Q_Stat[],26,FALSE)-Statistics100!M$6)*10)/Statistics100!M$13))</f>
        <v>114.8387745043138</v>
      </c>
      <c r="U201" s="11">
        <f>IF(RZS_100[[#This Row],[名前]]="","",(100+((VLOOKUP(RZS_100[[#This Row],[No用]],Q_Stat[],27,FALSE)-Statistics100!N$6)*10)/Statistics100!N$13))</f>
        <v>108.67201107394962</v>
      </c>
      <c r="V201" s="11">
        <f>IF(RZS_100[[#This Row],[名前]]="","",(100+((VLOOKUP(RZS_100[[#This Row],[No用]],Q_Stat[],28,FALSE)-Statistics100!O$6)*10)/Statistics100!O$13))</f>
        <v>100</v>
      </c>
      <c r="W201" s="11">
        <f>IF(RZS_100[[#This Row],[名前]]="","",(100+((VLOOKUP(RZS_100[[#This Row],[No用]],Q_Stat[],29,FALSE)-Statistics100!P$6)*10)/Statistics100!P$13))</f>
        <v>117.34402214789925</v>
      </c>
      <c r="X201" s="11">
        <f>IF(RZS_100[[#This Row],[名前]]="","",(100+((VLOOKUP(RZS_100[[#This Row],[No用]],Q_Stat[],30,FALSE)-Statistics100!Q$6)*10)/Statistics100!Q$13))</f>
        <v>102.69795900078432</v>
      </c>
    </row>
    <row r="202" spans="1:24" x14ac:dyDescent="0.35">
      <c r="A202">
        <f>IFERROR(Stat[[#This Row],[No.]],"")</f>
        <v>201</v>
      </c>
      <c r="B202" t="str">
        <f>IFERROR(Stat[[#This Row],[服装]],"")</f>
        <v>サバゲ</v>
      </c>
      <c r="C202" t="str">
        <f>IFERROR(Stat[[#This Row],[名前]],"")</f>
        <v>佐久早聖臣</v>
      </c>
      <c r="D202" t="str">
        <f>IFERROR(Stat[[#This Row],[じゃんけん]],"")</f>
        <v>グー</v>
      </c>
      <c r="E202" t="str">
        <f>IFERROR(Stat[[#This Row],[ポジション]],"")</f>
        <v>WS</v>
      </c>
      <c r="F202" t="str">
        <f>IFERROR(Stat[[#This Row],[高校]],"")</f>
        <v>井闥山</v>
      </c>
      <c r="G202" t="str">
        <f>IFERROR(Stat[[#This Row],[レアリティ]],"")</f>
        <v>ICONIC</v>
      </c>
      <c r="H202" t="str">
        <f>IFERROR(SetNo[[#This Row],[No.用]],"")</f>
        <v>サバゲ佐久早聖臣ICONIC</v>
      </c>
      <c r="I202" s="11">
        <f>IF(RZS_100[[#This Row],[名前]]="","",(100+((VLOOKUP(RZS_100[[#This Row],[No用]],Q_Stat[],13,FALSE)-Statistics100!B$6)*10)/Statistics100!B$13))</f>
        <v>116.48752722701533</v>
      </c>
      <c r="J202" s="11">
        <f>IF(RZS_100[[#This Row],[名前]]="","",(100+((VLOOKUP(RZS_100[[#This Row],[No用]],Q_Stat[],14,FALSE)-Statistics100!C$6)*10)/Statistics100!C$13))</f>
        <v>120.23469250588246</v>
      </c>
      <c r="K202" s="11">
        <f>IF(RZS_100[[#This Row],[名前]]="","",(100+((VLOOKUP(RZS_100[[#This Row],[No用]],Q_Stat[],15,FALSE)-Statistics100!D$6)*10)/Statistics100!D$13))</f>
        <v>102.24829916732027</v>
      </c>
      <c r="L202" s="11">
        <f>IF(RZS_100[[#This Row],[名前]]="","",(100+((VLOOKUP(RZS_100[[#This Row],[No用]],Q_Stat[],16,FALSE)-Statistics100!E$6)*10)/Statistics100!E$13))</f>
        <v>103.37244875098041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103.37244875098041</v>
      </c>
      <c r="O202" s="11">
        <f>IF(RZS_100[[#This Row],[名前]]="","",(100+((VLOOKUP(RZS_100[[#This Row],[No用]],Q_Stat[],19,FALSE)-Statistics100!H$6)*10)/Statistics100!H$13))</f>
        <v>118.88571300549029</v>
      </c>
      <c r="P202" s="11">
        <f>IF(RZS_100[[#This Row],[名前]]="","",(100+((VLOOKUP(RZS_100[[#This Row],[No用]],Q_Stat[],20,FALSE)-Statistics100!I$6)*10)/Statistics100!I$13))</f>
        <v>122.48299167320273</v>
      </c>
      <c r="Q202" s="11">
        <f>IF(RZS_100[[#This Row],[名前]]="","",(100+((VLOOKUP(RZS_100[[#This Row],[No用]],Q_Stat[],21,FALSE)-Statistics100!J$6)*10)/Statistics100!J$13))</f>
        <v>113.48979500392164</v>
      </c>
      <c r="R202" s="11">
        <f>IF(RZS_100[[#This Row],[名前]]="","",(100+((VLOOKUP(RZS_100[[#This Row],[No用]],Q_Stat[],22,FALSE)-Statistics100!K$6)*10)/Statistics100!K$13))</f>
        <v>106.74489750196082</v>
      </c>
      <c r="S202" s="11">
        <f>IF(RZS_100[[#This Row],[名前]]="","",(100+((VLOOKUP(RZS_100[[#This Row],[No用]],Q_Stat[],25,FALSE)-Statistics100!L$6)*10)/Statistics100!L$13))</f>
        <v>118.49407379569902</v>
      </c>
      <c r="T202" s="11">
        <f>IF(RZS_100[[#This Row],[名前]]="","",(100+((VLOOKUP(RZS_100[[#This Row],[No用]],Q_Stat[],26,FALSE)-Statistics100!M$6)*10)/Statistics100!M$13))</f>
        <v>118.88571300549029</v>
      </c>
      <c r="U202" s="11">
        <f>IF(RZS_100[[#This Row],[名前]]="","",(100+((VLOOKUP(RZS_100[[#This Row],[No用]],Q_Stat[],27,FALSE)-Statistics100!N$6)*10)/Statistics100!N$13))</f>
        <v>112.52623821792724</v>
      </c>
      <c r="V202" s="11">
        <f>IF(RZS_100[[#This Row],[名前]]="","",(100+((VLOOKUP(RZS_100[[#This Row],[No用]],Q_Stat[],28,FALSE)-Statistics100!O$6)*10)/Statistics100!O$13))</f>
        <v>102.24829916732027</v>
      </c>
      <c r="W202" s="11">
        <f>IF(RZS_100[[#This Row],[名前]]="","",(100+((VLOOKUP(RZS_100[[#This Row],[No用]],Q_Stat[],29,FALSE)-Statistics100!P$6)*10)/Statistics100!P$13))</f>
        <v>121.19824929187686</v>
      </c>
      <c r="X202" s="11">
        <f>IF(RZS_100[[#This Row],[名前]]="","",(100+((VLOOKUP(RZS_100[[#This Row],[No用]],Q_Stat[],30,FALSE)-Statistics100!Q$6)*10)/Statistics100!Q$13))</f>
        <v>108.09387700235298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小森元也</v>
      </c>
      <c r="D203" t="str">
        <f>IFERROR(Stat[[#This Row],[じゃんけん]],"")</f>
        <v>チョキ</v>
      </c>
      <c r="E203" t="str">
        <f>IFERROR(Stat[[#This Row],[ポジション]],"")</f>
        <v>Li</v>
      </c>
      <c r="F203" t="str">
        <f>IFERROR(Stat[[#This Row],[高校]],"")</f>
        <v>井闥山</v>
      </c>
      <c r="G203" t="str">
        <f>IFERROR(Stat[[#This Row],[レアリティ]],"")</f>
        <v>ICONIC</v>
      </c>
      <c r="H203" t="str">
        <f>IFERROR(SetNo[[#This Row],[No.用]],"")</f>
        <v>ユニフォーム小森元也ICONIC</v>
      </c>
      <c r="I203" s="11">
        <f>IF(RZS_100[[#This Row],[名前]]="","",(100+((VLOOKUP(RZS_100[[#This Row],[No用]],Q_Stat[],13,FALSE)-Statistics100!B$6)*10)/Statistics100!B$13))</f>
        <v>91.00680333071891</v>
      </c>
      <c r="J203" s="11">
        <f>IF(RZS_100[[#This Row],[名前]]="","",(100+((VLOOKUP(RZS_100[[#This Row],[No用]],Q_Stat[],14,FALSE)-Statistics100!C$6)*10)/Statistics100!C$13))</f>
        <v>85.546648210083958</v>
      </c>
      <c r="K203" s="11">
        <f>IF(RZS_100[[#This Row],[名前]]="","",(100+((VLOOKUP(RZS_100[[#This Row],[No用]],Q_Stat[],15,FALSE)-Statistics100!D$6)*10)/Statistics100!D$13))</f>
        <v>111.24149583660136</v>
      </c>
      <c r="L203" s="11">
        <f>IF(RZS_100[[#This Row],[名前]]="","",(100+((VLOOKUP(RZS_100[[#This Row],[No用]],Q_Stat[],16,FALSE)-Statistics100!E$6)*10)/Statistics100!E$13))</f>
        <v>110.11734625294123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83.137756245097947</v>
      </c>
      <c r="O203" s="11">
        <f>IF(RZS_100[[#This Row],[名前]]="","",(100+((VLOOKUP(RZS_100[[#This Row],[No用]],Q_Stat[],19,FALSE)-Statistics100!H$6)*10)/Statistics100!H$13))</f>
        <v>137.77142601098058</v>
      </c>
      <c r="P203" s="11">
        <f>IF(RZS_100[[#This Row],[名前]]="","",(100+((VLOOKUP(RZS_100[[#This Row],[No用]],Q_Stat[],20,FALSE)-Statistics100!I$6)*10)/Statistics100!I$13))</f>
        <v>95.503401665359448</v>
      </c>
      <c r="Q203" s="11">
        <f>IF(RZS_100[[#This Row],[名前]]="","",(100+((VLOOKUP(RZS_100[[#This Row],[No用]],Q_Stat[],21,FALSE)-Statistics100!J$6)*10)/Statistics100!J$13))</f>
        <v>113.48979500392164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100.21757733877293</v>
      </c>
      <c r="T203" s="11">
        <f>IF(RZS_100[[#This Row],[名前]]="","",(100+((VLOOKUP(RZS_100[[#This Row],[No用]],Q_Stat[],26,FALSE)-Statistics100!M$6)*10)/Statistics100!M$13))</f>
        <v>95.953061498823502</v>
      </c>
      <c r="U203" s="11">
        <f>IF(RZS_100[[#This Row],[名前]]="","",(100+((VLOOKUP(RZS_100[[#This Row],[No用]],Q_Stat[],27,FALSE)-Statistics100!N$6)*10)/Statistics100!N$13))</f>
        <v>97.109329642016789</v>
      </c>
      <c r="V203" s="11">
        <f>IF(RZS_100[[#This Row],[名前]]="","",(100+((VLOOKUP(RZS_100[[#This Row],[No用]],Q_Stat[],28,FALSE)-Statistics100!O$6)*10)/Statistics100!O$13))</f>
        <v>111.24149583660136</v>
      </c>
      <c r="W203" s="11">
        <f>IF(RZS_100[[#This Row],[名前]]="","",(100+((VLOOKUP(RZS_100[[#This Row],[No用]],Q_Stat[],29,FALSE)-Statistics100!P$6)*10)/Statistics100!P$13))</f>
        <v>134.68804429579851</v>
      </c>
      <c r="X203" s="11">
        <f>IF(RZS_100[[#This Row],[名前]]="","",(100+((VLOOKUP(RZS_100[[#This Row],[No用]],Q_Stat[],30,FALSE)-Statistics100!Q$6)*10)/Statistics100!Q$13))</f>
        <v>87.859184496470533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大将優</v>
      </c>
      <c r="D204" t="str">
        <f>IFERROR(Stat[[#This Row],[じゃんけん]],"")</f>
        <v>パー</v>
      </c>
      <c r="E204" t="str">
        <f>IFERROR(Stat[[#This Row],[ポジション]],"")</f>
        <v>WS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ユニフォーム大将優ICONIC</v>
      </c>
      <c r="I204" s="11">
        <f>IF(RZS_100[[#This Row],[名前]]="","",(100+((VLOOKUP(RZS_100[[#This Row],[No用]],Q_Stat[],13,FALSE)-Statistics100!B$6)*10)/Statistics100!B$13))</f>
        <v>102.99773222309369</v>
      </c>
      <c r="J204" s="11">
        <f>IF(RZS_100[[#This Row],[名前]]="","",(100+((VLOOKUP(RZS_100[[#This Row],[No用]],Q_Stat[],14,FALSE)-Statistics100!C$6)*10)/Statistics100!C$13))</f>
        <v>100.9635567859944</v>
      </c>
      <c r="K204" s="11">
        <f>IF(RZS_100[[#This Row],[名前]]="","",(100+((VLOOKUP(RZS_100[[#This Row],[No用]],Q_Stat[],15,FALSE)-Statistics100!D$6)*10)/Statistics100!D$13))</f>
        <v>108.99319666928109</v>
      </c>
      <c r="L204" s="11">
        <f>IF(RZS_100[[#This Row],[名前]]="","",(100+((VLOOKUP(RZS_100[[#This Row],[No用]],Q_Stat[],16,FALSE)-Statistics100!E$6)*10)/Statistics100!E$13))</f>
        <v>106.74489750196082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96.627551249019589</v>
      </c>
      <c r="O204" s="11">
        <f>IF(RZS_100[[#This Row],[名前]]="","",(100+((VLOOKUP(RZS_100[[#This Row],[No用]],Q_Stat[],19,FALSE)-Statistics100!H$6)*10)/Statistics100!H$13))</f>
        <v>113.48979500392164</v>
      </c>
      <c r="P204" s="11">
        <f>IF(RZS_100[[#This Row],[名前]]="","",(100+((VLOOKUP(RZS_100[[#This Row],[No用]],Q_Stat[],20,FALSE)-Statistics100!I$6)*10)/Statistics100!I$13))</f>
        <v>126.97959000784329</v>
      </c>
      <c r="Q204" s="11">
        <f>IF(RZS_100[[#This Row],[名前]]="","",(100+((VLOOKUP(RZS_100[[#This Row],[No用]],Q_Stat[],21,FALSE)-Statistics100!J$6)*10)/Statistics100!J$13))</f>
        <v>103.37244875098041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106.74489750196082</v>
      </c>
      <c r="T204" s="11">
        <f>IF(RZS_100[[#This Row],[名前]]="","",(100+((VLOOKUP(RZS_100[[#This Row],[No用]],Q_Stat[],26,FALSE)-Statistics100!M$6)*10)/Statistics100!M$13))</f>
        <v>106.74489750196082</v>
      </c>
      <c r="U204" s="11">
        <f>IF(RZS_100[[#This Row],[名前]]="","",(100+((VLOOKUP(RZS_100[[#This Row],[No用]],Q_Stat[],27,FALSE)-Statistics100!N$6)*10)/Statistics100!N$13))</f>
        <v>103.85422714397761</v>
      </c>
      <c r="V204" s="11">
        <f>IF(RZS_100[[#This Row],[名前]]="","",(100+((VLOOKUP(RZS_100[[#This Row],[No用]],Q_Stat[],28,FALSE)-Statistics100!O$6)*10)/Statistics100!O$13))</f>
        <v>108.99319666928109</v>
      </c>
      <c r="W204" s="11">
        <f>IF(RZS_100[[#This Row],[名前]]="","",(100+((VLOOKUP(RZS_100[[#This Row],[No用]],Q_Stat[],29,FALSE)-Statistics100!P$6)*10)/Statistics100!P$13))</f>
        <v>111.56268143193283</v>
      </c>
      <c r="X204" s="11">
        <f>IF(RZS_100[[#This Row],[名前]]="","",(100+((VLOOKUP(RZS_100[[#This Row],[No用]],Q_Stat[],30,FALSE)-Statistics100!Q$6)*10)/Statistics100!Q$13))</f>
        <v>105.39591800156866</v>
      </c>
    </row>
    <row r="205" spans="1:24" x14ac:dyDescent="0.35">
      <c r="A205">
        <f>IFERROR(Stat[[#This Row],[No.]],"")</f>
        <v>204</v>
      </c>
      <c r="B205" t="str">
        <f>IFERROR(Stat[[#This Row],[服装]],"")</f>
        <v>新年</v>
      </c>
      <c r="C205" t="str">
        <f>IFERROR(Stat[[#This Row],[名前]],"")</f>
        <v>大将優</v>
      </c>
      <c r="D205" t="str">
        <f>IFERROR(Stat[[#This Row],[じゃんけん]],"")</f>
        <v>チョキ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新年大将優ICONIC</v>
      </c>
      <c r="I205" s="11">
        <f>IF(RZS_100[[#This Row],[名前]]="","",(100+((VLOOKUP(RZS_100[[#This Row],[No用]],Q_Stat[],13,FALSE)-Statistics100!B$6)*10)/Statistics100!B$13))</f>
        <v>107.49433055773424</v>
      </c>
      <c r="J205" s="11">
        <f>IF(RZS_100[[#This Row],[名前]]="","",(100+((VLOOKUP(RZS_100[[#This Row],[No用]],Q_Stat[],14,FALSE)-Statistics100!C$6)*10)/Statistics100!C$13))</f>
        <v>106.74489750196082</v>
      </c>
      <c r="K205" s="11">
        <f>IF(RZS_100[[#This Row],[名前]]="","",(100+((VLOOKUP(RZS_100[[#This Row],[No用]],Q_Stat[],15,FALSE)-Statistics100!D$6)*10)/Statistics100!D$13))</f>
        <v>111.24149583660136</v>
      </c>
      <c r="L205" s="11">
        <f>IF(RZS_100[[#This Row],[名前]]="","",(100+((VLOOKUP(RZS_100[[#This Row],[No用]],Q_Stat[],16,FALSE)-Statistics100!E$6)*10)/Statistics100!E$13))</f>
        <v>110.11734625294123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98.875850416339858</v>
      </c>
      <c r="O205" s="11">
        <f>IF(RZS_100[[#This Row],[名前]]="","",(100+((VLOOKUP(RZS_100[[#This Row],[No用]],Q_Stat[],19,FALSE)-Statistics100!H$6)*10)/Statistics100!H$13))</f>
        <v>116.18775400470597</v>
      </c>
      <c r="P205" s="11">
        <f>IF(RZS_100[[#This Row],[名前]]="","",(100+((VLOOKUP(RZS_100[[#This Row],[No用]],Q_Stat[],20,FALSE)-Statistics100!I$6)*10)/Statistics100!I$13))</f>
        <v>140.46938501176493</v>
      </c>
      <c r="Q205" s="11">
        <f>IF(RZS_100[[#This Row],[名前]]="","",(100+((VLOOKUP(RZS_100[[#This Row],[No用]],Q_Stat[],21,FALSE)-Statistics100!J$6)*10)/Statistics100!J$13))</f>
        <v>106.74489750196082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112.83706298760285</v>
      </c>
      <c r="T205" s="11">
        <f>IF(RZS_100[[#This Row],[名前]]="","",(100+((VLOOKUP(RZS_100[[#This Row],[No用]],Q_Stat[],26,FALSE)-Statistics100!M$6)*10)/Statistics100!M$13))</f>
        <v>110.79183600313731</v>
      </c>
      <c r="U205" s="11">
        <f>IF(RZS_100[[#This Row],[名前]]="","",(100+((VLOOKUP(RZS_100[[#This Row],[No用]],Q_Stat[],27,FALSE)-Statistics100!N$6)*10)/Statistics100!N$13))</f>
        <v>107.70845428795522</v>
      </c>
      <c r="V205" s="11">
        <f>IF(RZS_100[[#This Row],[名前]]="","",(100+((VLOOKUP(RZS_100[[#This Row],[No用]],Q_Stat[],28,FALSE)-Statistics100!O$6)*10)/Statistics100!O$13))</f>
        <v>111.24149583660136</v>
      </c>
      <c r="W205" s="11">
        <f>IF(RZS_100[[#This Row],[名前]]="","",(100+((VLOOKUP(RZS_100[[#This Row],[No用]],Q_Stat[],29,FALSE)-Statistics100!P$6)*10)/Statistics100!P$13))</f>
        <v>115.41690857591044</v>
      </c>
      <c r="X205" s="11">
        <f>IF(RZS_100[[#This Row],[名前]]="","",(100+((VLOOKUP(RZS_100[[#This Row],[No用]],Q_Stat[],30,FALSE)-Statistics100!Q$6)*10)/Statistics100!Q$13))</f>
        <v>110.79183600313731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沼井和馬</v>
      </c>
      <c r="D206" t="str">
        <f>IFERROR(Stat[[#This Row],[じゃんけん]],"")</f>
        <v>パー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ユニフォーム沼井和馬ICONIC</v>
      </c>
      <c r="I206" s="11">
        <f>IF(RZS_100[[#This Row],[名前]]="","",(100+((VLOOKUP(RZS_100[[#This Row],[No用]],Q_Stat[],13,FALSE)-Statistics100!B$6)*10)/Statistics100!B$13))</f>
        <v>105.9954644461874</v>
      </c>
      <c r="J206" s="11">
        <f>IF(RZS_100[[#This Row],[名前]]="","",(100+((VLOOKUP(RZS_100[[#This Row],[No用]],Q_Stat[],14,FALSE)-Statistics100!C$6)*10)/Statistics100!C$13))</f>
        <v>100.9635567859944</v>
      </c>
      <c r="K206" s="11">
        <f>IF(RZS_100[[#This Row],[名前]]="","",(100+((VLOOKUP(RZS_100[[#This Row],[No用]],Q_Stat[],15,FALSE)-Statistics100!D$6)*10)/Statistics100!D$13))</f>
        <v>104.49659833464055</v>
      </c>
      <c r="L206" s="11">
        <f>IF(RZS_100[[#This Row],[名前]]="","",(100+((VLOOKUP(RZS_100[[#This Row],[No用]],Q_Stat[],16,FALSE)-Statistics100!E$6)*10)/Statistics100!E$13))</f>
        <v>93.255102498039179</v>
      </c>
      <c r="M206" s="11">
        <f>IF(RZS_100[[#This Row],[名前]]="","",(100+((VLOOKUP(RZS_100[[#This Row],[No用]],Q_Stat[],17,FALSE)-Statistics100!F$6)*10)/Statistics100!F$13))</f>
        <v>86.510204996078357</v>
      </c>
      <c r="N206" s="11">
        <f>IF(RZS_100[[#This Row],[名前]]="","",(100+((VLOOKUP(RZS_100[[#This Row],[No用]],Q_Stat[],18,FALSE)-Statistics100!G$6)*10)/Statistics100!G$13))</f>
        <v>101.12414958366014</v>
      </c>
      <c r="O206" s="11">
        <f>IF(RZS_100[[#This Row],[名前]]="","",(100+((VLOOKUP(RZS_100[[#This Row],[No用]],Q_Stat[],19,FALSE)-Statistics100!H$6)*10)/Statistics100!H$13))</f>
        <v>105.39591800156866</v>
      </c>
      <c r="P206" s="11">
        <f>IF(RZS_100[[#This Row],[名前]]="","",(100+((VLOOKUP(RZS_100[[#This Row],[No用]],Q_Stat[],20,FALSE)-Statistics100!I$6)*10)/Statistics100!I$13))</f>
        <v>117.98639333856218</v>
      </c>
      <c r="Q206" s="11">
        <f>IF(RZS_100[[#This Row],[名前]]="","",(100+((VLOOKUP(RZS_100[[#This Row],[No用]],Q_Stat[],21,FALSE)-Statistics100!J$6)*10)/Statistics100!J$13))</f>
        <v>106.74489750196082</v>
      </c>
      <c r="R206" s="11">
        <f>IF(RZS_100[[#This Row],[名前]]="","",(100+((VLOOKUP(RZS_100[[#This Row],[No用]],Q_Stat[],22,FALSE)-Statistics100!K$6)*10)/Statistics100!K$13))</f>
        <v>100</v>
      </c>
      <c r="S206" s="11">
        <f>IF(RZS_100[[#This Row],[名前]]="","",(100+((VLOOKUP(RZS_100[[#This Row],[No用]],Q_Stat[],25,FALSE)-Statistics100!L$6)*10)/Statistics100!L$13))</f>
        <v>102.39335072650222</v>
      </c>
      <c r="T206" s="11">
        <f>IF(RZS_100[[#This Row],[名前]]="","",(100+((VLOOKUP(RZS_100[[#This Row],[No用]],Q_Stat[],26,FALSE)-Statistics100!M$6)*10)/Statistics100!M$13))</f>
        <v>104.0469385011765</v>
      </c>
      <c r="U206" s="11">
        <f>IF(RZS_100[[#This Row],[名前]]="","",(100+((VLOOKUP(RZS_100[[#This Row],[No用]],Q_Stat[],27,FALSE)-Statistics100!N$6)*10)/Statistics100!N$13))</f>
        <v>96.14577285602239</v>
      </c>
      <c r="V206" s="11">
        <f>IF(RZS_100[[#This Row],[名前]]="","",(100+((VLOOKUP(RZS_100[[#This Row],[No用]],Q_Stat[],28,FALSE)-Statistics100!O$6)*10)/Statistics100!O$13))</f>
        <v>104.49659833464055</v>
      </c>
      <c r="W206" s="11">
        <f>IF(RZS_100[[#This Row],[名前]]="","",(100+((VLOOKUP(RZS_100[[#This Row],[No用]],Q_Stat[],29,FALSE)-Statistics100!P$6)*10)/Statistics100!P$13))</f>
        <v>107.70845428795522</v>
      </c>
      <c r="X206" s="11">
        <f>IF(RZS_100[[#This Row],[名前]]="","",(100+((VLOOKUP(RZS_100[[#This Row],[No用]],Q_Stat[],30,FALSE)-Statistics100!Q$6)*10)/Statistics100!Q$13))</f>
        <v>105.39591800156866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潜尚保</v>
      </c>
      <c r="D207" t="str">
        <f>IFERROR(Stat[[#This Row],[じゃんけん]],"")</f>
        <v>パー</v>
      </c>
      <c r="E207" t="str">
        <f>IFERROR(Stat[[#This Row],[ポジション]],"")</f>
        <v>WS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ユニフォーム潜尚保ICONIC</v>
      </c>
      <c r="I207" s="11">
        <f>IF(RZS_100[[#This Row],[名前]]="","",(100+((VLOOKUP(RZS_100[[#This Row],[No用]],Q_Stat[],13,FALSE)-Statistics100!B$6)*10)/Statistics100!B$13))</f>
        <v>102.99773222309369</v>
      </c>
      <c r="J207" s="11">
        <f>IF(RZS_100[[#This Row],[名前]]="","",(100+((VLOOKUP(RZS_100[[#This Row],[No用]],Q_Stat[],14,FALSE)-Statistics100!C$6)*10)/Statistics100!C$13))</f>
        <v>99.036443214005601</v>
      </c>
      <c r="K207" s="11">
        <f>IF(RZS_100[[#This Row],[名前]]="","",(100+((VLOOKUP(RZS_100[[#This Row],[No用]],Q_Stat[],15,FALSE)-Statistics100!D$6)*10)/Statistics100!D$13))</f>
        <v>100</v>
      </c>
      <c r="L207" s="11">
        <f>IF(RZS_100[[#This Row],[名前]]="","",(100+((VLOOKUP(RZS_100[[#This Row],[No用]],Q_Stat[],16,FALSE)-Statistics100!E$6)*10)/Statistics100!E$13))</f>
        <v>100</v>
      </c>
      <c r="M207" s="11">
        <f>IF(RZS_100[[#This Row],[名前]]="","",(100+((VLOOKUP(RZS_100[[#This Row],[No用]],Q_Stat[],17,FALSE)-Statistics100!F$6)*10)/Statistics100!F$13))</f>
        <v>86.510204996078357</v>
      </c>
      <c r="N207" s="11">
        <f>IF(RZS_100[[#This Row],[名前]]="","",(100+((VLOOKUP(RZS_100[[#This Row],[No用]],Q_Stat[],18,FALSE)-Statistics100!G$6)*10)/Statistics100!G$13))</f>
        <v>98.875850416339858</v>
      </c>
      <c r="O207" s="11">
        <f>IF(RZS_100[[#This Row],[名前]]="","",(100+((VLOOKUP(RZS_100[[#This Row],[No用]],Q_Stat[],19,FALSE)-Statistics100!H$6)*10)/Statistics100!H$13))</f>
        <v>94.60408199843134</v>
      </c>
      <c r="P207" s="11">
        <f>IF(RZS_100[[#This Row],[名前]]="","",(100+((VLOOKUP(RZS_100[[#This Row],[No用]],Q_Stat[],20,FALSE)-Statistics100!I$6)*10)/Statistics100!I$13))</f>
        <v>113.48979500392164</v>
      </c>
      <c r="Q207" s="11">
        <f>IF(RZS_100[[#This Row],[名前]]="","",(100+((VLOOKUP(RZS_100[[#This Row],[No用]],Q_Stat[],21,FALSE)-Statistics100!J$6)*10)/Statistics100!J$13))</f>
        <v>100</v>
      </c>
      <c r="R207" s="11">
        <f>IF(RZS_100[[#This Row],[名前]]="","",(100+((VLOOKUP(RZS_100[[#This Row],[No用]],Q_Stat[],22,FALSE)-Statistics100!K$6)*10)/Statistics100!K$13))</f>
        <v>93.255102498039179</v>
      </c>
      <c r="S207" s="11">
        <f>IF(RZS_100[[#This Row],[名前]]="","",(100+((VLOOKUP(RZS_100[[#This Row],[No用]],Q_Stat[],25,FALSE)-Statistics100!L$6)*10)/Statistics100!L$13))</f>
        <v>95.430875885768472</v>
      </c>
      <c r="T207" s="11">
        <f>IF(RZS_100[[#This Row],[名前]]="","",(100+((VLOOKUP(RZS_100[[#This Row],[No用]],Q_Stat[],26,FALSE)-Statistics100!M$6)*10)/Statistics100!M$13))</f>
        <v>101.34897950039216</v>
      </c>
      <c r="U207" s="11">
        <f>IF(RZS_100[[#This Row],[名前]]="","",(100+((VLOOKUP(RZS_100[[#This Row],[No用]],Q_Stat[],27,FALSE)-Statistics100!N$6)*10)/Statistics100!N$13))</f>
        <v>97.109329642016789</v>
      </c>
      <c r="V207" s="11">
        <f>IF(RZS_100[[#This Row],[名前]]="","",(100+((VLOOKUP(RZS_100[[#This Row],[No用]],Q_Stat[],28,FALSE)-Statistics100!O$6)*10)/Statistics100!O$13))</f>
        <v>100</v>
      </c>
      <c r="W207" s="11">
        <f>IF(RZS_100[[#This Row],[名前]]="","",(100+((VLOOKUP(RZS_100[[#This Row],[No用]],Q_Stat[],29,FALSE)-Statistics100!P$6)*10)/Statistics100!P$13))</f>
        <v>96.14577285602239</v>
      </c>
      <c r="X207" s="11">
        <f>IF(RZS_100[[#This Row],[名前]]="","",(100+((VLOOKUP(RZS_100[[#This Row],[No用]],Q_Stat[],30,FALSE)-Statistics100!Q$6)*10)/Statistics100!Q$13))</f>
        <v>102.69795900078432</v>
      </c>
    </row>
    <row r="208" spans="1:24" x14ac:dyDescent="0.35">
      <c r="A208">
        <f>IFERROR(Stat[[#This Row],[No.]],"")</f>
        <v>207</v>
      </c>
      <c r="B208" t="str">
        <f>IFERROR(Stat[[#This Row],[服装]],"")</f>
        <v>バーガー</v>
      </c>
      <c r="C208" t="str">
        <f>IFERROR(Stat[[#This Row],[名前]],"")</f>
        <v>潜尚保</v>
      </c>
      <c r="D208" t="str">
        <f>IFERROR(Stat[[#This Row],[じゃんけん]],"")</f>
        <v>チョキ</v>
      </c>
      <c r="E208" t="str">
        <f>IFERROR(Stat[[#This Row],[ポジション]],"")</f>
        <v>WS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バーガー潜尚保ICONIC</v>
      </c>
      <c r="I208" s="11">
        <f>IF(RZS_100[[#This Row],[名前]]="","",(100+((VLOOKUP(RZS_100[[#This Row],[No用]],Q_Stat[],13,FALSE)-Statistics100!B$6)*10)/Statistics100!B$13))</f>
        <v>107.49433055773424</v>
      </c>
      <c r="J208" s="11">
        <f>IF(RZS_100[[#This Row],[名前]]="","",(100+((VLOOKUP(RZS_100[[#This Row],[No用]],Q_Stat[],14,FALSE)-Statistics100!C$6)*10)/Statistics100!C$13))</f>
        <v>104.81778392997201</v>
      </c>
      <c r="K208" s="11">
        <f>IF(RZS_100[[#This Row],[名前]]="","",(100+((VLOOKUP(RZS_100[[#This Row],[No用]],Q_Stat[],15,FALSE)-Statistics100!D$6)*10)/Statistics100!D$13))</f>
        <v>102.24829916732027</v>
      </c>
      <c r="L208" s="11">
        <f>IF(RZS_100[[#This Row],[名前]]="","",(100+((VLOOKUP(RZS_100[[#This Row],[No用]],Q_Stat[],16,FALSE)-Statistics100!E$6)*10)/Statistics100!E$13))</f>
        <v>103.37244875098041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101.12414958366014</v>
      </c>
      <c r="O208" s="11">
        <f>IF(RZS_100[[#This Row],[名前]]="","",(100+((VLOOKUP(RZS_100[[#This Row],[No用]],Q_Stat[],19,FALSE)-Statistics100!H$6)*10)/Statistics100!H$13))</f>
        <v>97.302040999215677</v>
      </c>
      <c r="P208" s="11">
        <f>IF(RZS_100[[#This Row],[名前]]="","",(100+((VLOOKUP(RZS_100[[#This Row],[No用]],Q_Stat[],20,FALSE)-Statistics100!I$6)*10)/Statistics100!I$13))</f>
        <v>126.97959000784329</v>
      </c>
      <c r="Q208" s="11">
        <f>IF(RZS_100[[#This Row],[名前]]="","",(100+((VLOOKUP(RZS_100[[#This Row],[No用]],Q_Stat[],21,FALSE)-Statistics100!J$6)*10)/Statistics100!J$13))</f>
        <v>103.37244875098041</v>
      </c>
      <c r="R208" s="11">
        <f>IF(RZS_100[[#This Row],[名前]]="","",(100+((VLOOKUP(RZS_100[[#This Row],[No用]],Q_Stat[],22,FALSE)-Statistics100!K$6)*10)/Statistics100!K$13))</f>
        <v>93.255102498039179</v>
      </c>
      <c r="S208" s="11">
        <f>IF(RZS_100[[#This Row],[名前]]="","",(100+((VLOOKUP(RZS_100[[#This Row],[No用]],Q_Stat[],25,FALSE)-Statistics100!L$6)*10)/Statistics100!L$13))</f>
        <v>101.52304137141051</v>
      </c>
      <c r="T208" s="11">
        <f>IF(RZS_100[[#This Row],[名前]]="","",(100+((VLOOKUP(RZS_100[[#This Row],[No用]],Q_Stat[],26,FALSE)-Statistics100!M$6)*10)/Statistics100!M$13))</f>
        <v>105.39591800156866</v>
      </c>
      <c r="U208" s="11">
        <f>IF(RZS_100[[#This Row],[名前]]="","",(100+((VLOOKUP(RZS_100[[#This Row],[No用]],Q_Stat[],27,FALSE)-Statistics100!N$6)*10)/Statistics100!N$13))</f>
        <v>100.9635567859944</v>
      </c>
      <c r="V208" s="11">
        <f>IF(RZS_100[[#This Row],[名前]]="","",(100+((VLOOKUP(RZS_100[[#This Row],[No用]],Q_Stat[],28,FALSE)-Statistics100!O$6)*10)/Statistics100!O$13))</f>
        <v>102.24829916732027</v>
      </c>
      <c r="W208" s="11">
        <f>IF(RZS_100[[#This Row],[名前]]="","",(100+((VLOOKUP(RZS_100[[#This Row],[No用]],Q_Stat[],29,FALSE)-Statistics100!P$6)*10)/Statistics100!P$13))</f>
        <v>100</v>
      </c>
      <c r="X208" s="11">
        <f>IF(RZS_100[[#This Row],[名前]]="","",(100+((VLOOKUP(RZS_100[[#This Row],[No用]],Q_Stat[],30,FALSE)-Statistics100!Q$6)*10)/Statistics100!Q$13))</f>
        <v>108.09387700235298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高千穂恵也</v>
      </c>
      <c r="D209" t="str">
        <f>IFERROR(Stat[[#This Row],[じゃんけん]],"")</f>
        <v>パー</v>
      </c>
      <c r="E209" t="str">
        <f>IFERROR(Stat[[#This Row],[ポジション]],"")</f>
        <v>WS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ユニフォーム高千穂恵也ICONIC</v>
      </c>
      <c r="I209" s="11">
        <f>IF(RZS_100[[#This Row],[名前]]="","",(100+((VLOOKUP(RZS_100[[#This Row],[No用]],Q_Stat[],13,FALSE)-Statistics100!B$6)*10)/Statistics100!B$13))</f>
        <v>100</v>
      </c>
      <c r="J209" s="11">
        <f>IF(RZS_100[[#This Row],[名前]]="","",(100+((VLOOKUP(RZS_100[[#This Row],[No用]],Q_Stat[],14,FALSE)-Statistics100!C$6)*10)/Statistics100!C$13))</f>
        <v>102.89067035798321</v>
      </c>
      <c r="K209" s="11">
        <f>IF(RZS_100[[#This Row],[名前]]="","",(100+((VLOOKUP(RZS_100[[#This Row],[No用]],Q_Stat[],15,FALSE)-Statistics100!D$6)*10)/Statistics100!D$13))</f>
        <v>100</v>
      </c>
      <c r="L209" s="11">
        <f>IF(RZS_100[[#This Row],[名前]]="","",(100+((VLOOKUP(RZS_100[[#This Row],[No用]],Q_Stat[],16,FALSE)-Statistics100!E$6)*10)/Statistics100!E$13))</f>
        <v>100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96.627551249019589</v>
      </c>
      <c r="O209" s="11">
        <f>IF(RZS_100[[#This Row],[名前]]="","",(100+((VLOOKUP(RZS_100[[#This Row],[No用]],Q_Stat[],19,FALSE)-Statistics100!H$6)*10)/Statistics100!H$13))</f>
        <v>97.302040999215677</v>
      </c>
      <c r="P209" s="11">
        <f>IF(RZS_100[[#This Row],[名前]]="","",(100+((VLOOKUP(RZS_100[[#This Row],[No用]],Q_Stat[],20,FALSE)-Statistics100!I$6)*10)/Statistics100!I$13))</f>
        <v>104.49659833464055</v>
      </c>
      <c r="Q209" s="11">
        <f>IF(RZS_100[[#This Row],[名前]]="","",(100+((VLOOKUP(RZS_100[[#This Row],[No用]],Q_Stat[],21,FALSE)-Statistics100!J$6)*10)/Statistics100!J$13))</f>
        <v>93.255102498039179</v>
      </c>
      <c r="R209" s="11">
        <f>IF(RZS_100[[#This Row],[名前]]="","",(100+((VLOOKUP(RZS_100[[#This Row],[No用]],Q_Stat[],22,FALSE)-Statistics100!K$6)*10)/Statistics100!K$13))</f>
        <v>100</v>
      </c>
      <c r="S209" s="11">
        <f>IF(RZS_100[[#This Row],[名前]]="","",(100+((VLOOKUP(RZS_100[[#This Row],[No用]],Q_Stat[],25,FALSE)-Statistics100!L$6)*10)/Statistics100!L$13))</f>
        <v>97.60664927349778</v>
      </c>
      <c r="T209" s="11">
        <f>IF(RZS_100[[#This Row],[名前]]="","",(100+((VLOOKUP(RZS_100[[#This Row],[No用]],Q_Stat[],26,FALSE)-Statistics100!M$6)*10)/Statistics100!M$13))</f>
        <v>104.0469385011765</v>
      </c>
      <c r="U209" s="11">
        <f>IF(RZS_100[[#This Row],[名前]]="","",(100+((VLOOKUP(RZS_100[[#This Row],[No用]],Q_Stat[],27,FALSE)-Statistics100!N$6)*10)/Statistics100!N$13))</f>
        <v>102.89067035798321</v>
      </c>
      <c r="V209" s="11">
        <f>IF(RZS_100[[#This Row],[名前]]="","",(100+((VLOOKUP(RZS_100[[#This Row],[No用]],Q_Stat[],28,FALSE)-Statistics100!O$6)*10)/Statistics100!O$13))</f>
        <v>100</v>
      </c>
      <c r="W209" s="11">
        <f>IF(RZS_100[[#This Row],[名前]]="","",(100+((VLOOKUP(RZS_100[[#This Row],[No用]],Q_Stat[],29,FALSE)-Statistics100!P$6)*10)/Statistics100!P$13))</f>
        <v>94.218659284033578</v>
      </c>
      <c r="X209" s="11">
        <f>IF(RZS_100[[#This Row],[名前]]="","",(100+((VLOOKUP(RZS_100[[#This Row],[No用]],Q_Stat[],30,FALSE)-Statistics100!Q$6)*10)/Statistics100!Q$13))</f>
        <v>98.651020499607839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広尾倖児</v>
      </c>
      <c r="D210" t="str">
        <f>IFERROR(Stat[[#This Row],[じゃんけん]],"")</f>
        <v>パー</v>
      </c>
      <c r="E210" t="str">
        <f>IFERROR(Stat[[#This Row],[ポジション]],"")</f>
        <v>MB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ユニフォーム広尾倖児ICONIC</v>
      </c>
      <c r="I210" s="11">
        <f>IF(RZS_100[[#This Row],[名前]]="","",(100+((VLOOKUP(RZS_100[[#This Row],[No用]],Q_Stat[],13,FALSE)-Statistics100!B$6)*10)/Statistics100!B$13))</f>
        <v>92.505669442265756</v>
      </c>
      <c r="J210" s="11">
        <f>IF(RZS_100[[#This Row],[名前]]="","",(100+((VLOOKUP(RZS_100[[#This Row],[No用]],Q_Stat[],14,FALSE)-Statistics100!C$6)*10)/Statistics100!C$13))</f>
        <v>87.473761782072756</v>
      </c>
      <c r="K210" s="11">
        <f>IF(RZS_100[[#This Row],[名前]]="","",(100+((VLOOKUP(RZS_100[[#This Row],[No用]],Q_Stat[],15,FALSE)-Statistics100!D$6)*10)/Statistics100!D$13))</f>
        <v>95.503401665359448</v>
      </c>
      <c r="L210" s="11">
        <f>IF(RZS_100[[#This Row],[名前]]="","",(100+((VLOOKUP(RZS_100[[#This Row],[No用]],Q_Stat[],16,FALSE)-Statistics100!E$6)*10)/Statistics100!E$13))</f>
        <v>116.86224375490205</v>
      </c>
      <c r="M210" s="11">
        <f>IF(RZS_100[[#This Row],[名前]]="","",(100+((VLOOKUP(RZS_100[[#This Row],[No用]],Q_Stat[],17,FALSE)-Statistics100!F$6)*10)/Statistics100!F$13))</f>
        <v>86.510204996078357</v>
      </c>
      <c r="N210" s="11">
        <f>IF(RZS_100[[#This Row],[名前]]="","",(100+((VLOOKUP(RZS_100[[#This Row],[No用]],Q_Stat[],18,FALSE)-Statistics100!G$6)*10)/Statistics100!G$13))</f>
        <v>107.86904708562096</v>
      </c>
      <c r="O210" s="11">
        <f>IF(RZS_100[[#This Row],[名前]]="","",(100+((VLOOKUP(RZS_100[[#This Row],[No用]],Q_Stat[],19,FALSE)-Statistics100!H$6)*10)/Statistics100!H$13))</f>
        <v>94.60408199843134</v>
      </c>
      <c r="P210" s="11">
        <f>IF(RZS_100[[#This Row],[名前]]="","",(100+((VLOOKUP(RZS_100[[#This Row],[No用]],Q_Stat[],20,FALSE)-Statistics100!I$6)*10)/Statistics100!I$13))</f>
        <v>95.503401665359448</v>
      </c>
      <c r="Q210" s="11">
        <f>IF(RZS_100[[#This Row],[名前]]="","",(100+((VLOOKUP(RZS_100[[#This Row],[No用]],Q_Stat[],21,FALSE)-Statistics100!J$6)*10)/Statistics100!J$13))</f>
        <v>96.627551249019589</v>
      </c>
      <c r="R210" s="11">
        <f>IF(RZS_100[[#This Row],[名前]]="","",(100+((VLOOKUP(RZS_100[[#This Row],[No用]],Q_Stat[],22,FALSE)-Statistics100!K$6)*10)/Statistics100!K$13))</f>
        <v>93.255102498039179</v>
      </c>
      <c r="S210" s="11">
        <f>IF(RZS_100[[#This Row],[名前]]="","",(100+((VLOOKUP(RZS_100[[#This Row],[No用]],Q_Stat[],25,FALSE)-Statistics100!L$6)*10)/Statistics100!L$13))</f>
        <v>90.644174432764032</v>
      </c>
      <c r="T210" s="11">
        <f>IF(RZS_100[[#This Row],[名前]]="","",(100+((VLOOKUP(RZS_100[[#This Row],[No用]],Q_Stat[],26,FALSE)-Statistics100!M$6)*10)/Statistics100!M$13))</f>
        <v>91.906122997647017</v>
      </c>
      <c r="U210" s="11">
        <f>IF(RZS_100[[#This Row],[名前]]="","",(100+((VLOOKUP(RZS_100[[#This Row],[No用]],Q_Stat[],27,FALSE)-Statistics100!N$6)*10)/Statistics100!N$13))</f>
        <v>96.14577285602239</v>
      </c>
      <c r="V210" s="11">
        <f>IF(RZS_100[[#This Row],[名前]]="","",(100+((VLOOKUP(RZS_100[[#This Row],[No用]],Q_Stat[],28,FALSE)-Statistics100!O$6)*10)/Statistics100!O$13))</f>
        <v>95.503401665359448</v>
      </c>
      <c r="W210" s="11">
        <f>IF(RZS_100[[#This Row],[名前]]="","",(100+((VLOOKUP(RZS_100[[#This Row],[No用]],Q_Stat[],29,FALSE)-Statistics100!P$6)*10)/Statistics100!P$13))</f>
        <v>94.218659284033578</v>
      </c>
      <c r="X210" s="11">
        <f>IF(RZS_100[[#This Row],[名前]]="","",(100+((VLOOKUP(RZS_100[[#This Row],[No用]],Q_Stat[],30,FALSE)-Statistics100!Q$6)*10)/Statistics100!Q$13))</f>
        <v>102.69795900078432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先島伊澄</v>
      </c>
      <c r="D211" t="str">
        <f>IFERROR(Stat[[#This Row],[じゃんけん]],"")</f>
        <v>パー</v>
      </c>
      <c r="E211" t="str">
        <f>IFERROR(Stat[[#This Row],[ポジション]],"")</f>
        <v>S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ユニフォーム先島伊澄ICONIC</v>
      </c>
      <c r="I211" s="11">
        <f>IF(RZS_100[[#This Row],[名前]]="","",(100+((VLOOKUP(RZS_100[[#This Row],[No用]],Q_Stat[],13,FALSE)-Statistics100!B$6)*10)/Statistics100!B$13))</f>
        <v>91.00680333071891</v>
      </c>
      <c r="J211" s="11">
        <f>IF(RZS_100[[#This Row],[名前]]="","",(100+((VLOOKUP(RZS_100[[#This Row],[No用]],Q_Stat[],14,FALSE)-Statistics100!C$6)*10)/Statistics100!C$13))</f>
        <v>95.182216070027991</v>
      </c>
      <c r="K211" s="11">
        <f>IF(RZS_100[[#This Row],[名前]]="","",(100+((VLOOKUP(RZS_100[[#This Row],[No用]],Q_Stat[],15,FALSE)-Statistics100!D$6)*10)/Statistics100!D$13))</f>
        <v>113.48979500392164</v>
      </c>
      <c r="L211" s="11">
        <f>IF(RZS_100[[#This Row],[名前]]="","",(100+((VLOOKUP(RZS_100[[#This Row],[No用]],Q_Stat[],16,FALSE)-Statistics100!E$6)*10)/Statistics100!E$13))</f>
        <v>96.627551249019589</v>
      </c>
      <c r="M211" s="11">
        <f>IF(RZS_100[[#This Row],[名前]]="","",(100+((VLOOKUP(RZS_100[[#This Row],[No用]],Q_Stat[],17,FALSE)-Statistics100!F$6)*10)/Statistics100!F$13))</f>
        <v>86.510204996078357</v>
      </c>
      <c r="N211" s="11">
        <f>IF(RZS_100[[#This Row],[名前]]="","",(100+((VLOOKUP(RZS_100[[#This Row],[No用]],Q_Stat[],18,FALSE)-Statistics100!G$6)*10)/Statistics100!G$13))</f>
        <v>94.37925208169932</v>
      </c>
      <c r="O211" s="11">
        <f>IF(RZS_100[[#This Row],[名前]]="","",(100+((VLOOKUP(RZS_100[[#This Row],[No用]],Q_Stat[],19,FALSE)-Statistics100!H$6)*10)/Statistics100!H$13))</f>
        <v>91.906122997647017</v>
      </c>
      <c r="P211" s="11">
        <f>IF(RZS_100[[#This Row],[名前]]="","",(100+((VLOOKUP(RZS_100[[#This Row],[No用]],Q_Stat[],20,FALSE)-Statistics100!I$6)*10)/Statistics100!I$13))</f>
        <v>95.503401665359448</v>
      </c>
      <c r="Q211" s="11">
        <f>IF(RZS_100[[#This Row],[名前]]="","",(100+((VLOOKUP(RZS_100[[#This Row],[No用]],Q_Stat[],21,FALSE)-Statistics100!J$6)*10)/Statistics100!J$13))</f>
        <v>100</v>
      </c>
      <c r="R211" s="11">
        <f>IF(RZS_100[[#This Row],[名前]]="","",(100+((VLOOKUP(RZS_100[[#This Row],[No用]],Q_Stat[],22,FALSE)-Statistics100!K$6)*10)/Statistics100!K$13))</f>
        <v>106.74489750196082</v>
      </c>
      <c r="S211" s="11">
        <f>IF(RZS_100[[#This Row],[名前]]="","",(100+((VLOOKUP(RZS_100[[#This Row],[No用]],Q_Stat[],25,FALSE)-Statistics100!L$6)*10)/Statistics100!L$13))</f>
        <v>94.560566530676766</v>
      </c>
      <c r="T211" s="11">
        <f>IF(RZS_100[[#This Row],[名前]]="","",(100+((VLOOKUP(RZS_100[[#This Row],[No用]],Q_Stat[],26,FALSE)-Statistics100!M$6)*10)/Statistics100!M$13))</f>
        <v>90.557143497254856</v>
      </c>
      <c r="U211" s="11">
        <f>IF(RZS_100[[#This Row],[名前]]="","",(100+((VLOOKUP(RZS_100[[#This Row],[No用]],Q_Stat[],27,FALSE)-Statistics100!N$6)*10)/Statistics100!N$13))</f>
        <v>94.218659284033578</v>
      </c>
      <c r="V211" s="11">
        <f>IF(RZS_100[[#This Row],[名前]]="","",(100+((VLOOKUP(RZS_100[[#This Row],[No用]],Q_Stat[],28,FALSE)-Statistics100!O$6)*10)/Statistics100!O$13))</f>
        <v>113.48979500392164</v>
      </c>
      <c r="W211" s="11">
        <f>IF(RZS_100[[#This Row],[名前]]="","",(100+((VLOOKUP(RZS_100[[#This Row],[No用]],Q_Stat[],29,FALSE)-Statistics100!P$6)*10)/Statistics100!P$13))</f>
        <v>94.218659284033578</v>
      </c>
      <c r="X211" s="11">
        <f>IF(RZS_100[[#This Row],[名前]]="","",(100+((VLOOKUP(RZS_100[[#This Row],[No用]],Q_Stat[],30,FALSE)-Statistics100!Q$6)*10)/Statistics100!Q$13))</f>
        <v>94.60408199843134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背黒晃彦</v>
      </c>
      <c r="D212" t="str">
        <f>IFERROR(Stat[[#This Row],[じゃんけん]],"")</f>
        <v>パー</v>
      </c>
      <c r="E212" t="str">
        <f>IFERROR(Stat[[#This Row],[ポジション]],"")</f>
        <v>MB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ユニフォーム背黒晃彦ICONIC</v>
      </c>
      <c r="I212" s="11">
        <f>IF(RZS_100[[#This Row],[名前]]="","",(100+((VLOOKUP(RZS_100[[#This Row],[No用]],Q_Stat[],13,FALSE)-Statistics100!B$6)*10)/Statistics100!B$13))</f>
        <v>94.004535553812602</v>
      </c>
      <c r="J212" s="11">
        <f>IF(RZS_100[[#This Row],[名前]]="","",(100+((VLOOKUP(RZS_100[[#This Row],[No用]],Q_Stat[],14,FALSE)-Statistics100!C$6)*10)/Statistics100!C$13))</f>
        <v>89.400875354061569</v>
      </c>
      <c r="K212" s="11">
        <f>IF(RZS_100[[#This Row],[名前]]="","",(100+((VLOOKUP(RZS_100[[#This Row],[No用]],Q_Stat[],15,FALSE)-Statistics100!D$6)*10)/Statistics100!D$13))</f>
        <v>95.503401665359448</v>
      </c>
      <c r="L212" s="11">
        <f>IF(RZS_100[[#This Row],[名前]]="","",(100+((VLOOKUP(RZS_100[[#This Row],[No用]],Q_Stat[],16,FALSE)-Statistics100!E$6)*10)/Statistics100!E$13))</f>
        <v>83.137756245097947</v>
      </c>
      <c r="M212" s="11">
        <f>IF(RZS_100[[#This Row],[名前]]="","",(100+((VLOOKUP(RZS_100[[#This Row],[No用]],Q_Stat[],17,FALSE)-Statistics100!F$6)*10)/Statistics100!F$13))</f>
        <v>86.510204996078357</v>
      </c>
      <c r="N212" s="11">
        <f>IF(RZS_100[[#This Row],[名前]]="","",(100+((VLOOKUP(RZS_100[[#This Row],[No用]],Q_Stat[],18,FALSE)-Statistics100!G$6)*10)/Statistics100!G$13))</f>
        <v>107.86904708562096</v>
      </c>
      <c r="O212" s="11">
        <f>IF(RZS_100[[#This Row],[名前]]="","",(100+((VLOOKUP(RZS_100[[#This Row],[No用]],Q_Stat[],19,FALSE)-Statistics100!H$6)*10)/Statistics100!H$13))</f>
        <v>94.60408199843134</v>
      </c>
      <c r="P212" s="11">
        <f>IF(RZS_100[[#This Row],[名前]]="","",(100+((VLOOKUP(RZS_100[[#This Row],[No用]],Q_Stat[],20,FALSE)-Statistics100!I$6)*10)/Statistics100!I$13))</f>
        <v>95.503401665359448</v>
      </c>
      <c r="Q212" s="11">
        <f>IF(RZS_100[[#This Row],[名前]]="","",(100+((VLOOKUP(RZS_100[[#This Row],[No用]],Q_Stat[],21,FALSE)-Statistics100!J$6)*10)/Statistics100!J$13))</f>
        <v>93.255102498039179</v>
      </c>
      <c r="R212" s="11">
        <f>IF(RZS_100[[#This Row],[名前]]="","",(100+((VLOOKUP(RZS_100[[#This Row],[No用]],Q_Stat[],22,FALSE)-Statistics100!K$6)*10)/Statistics100!K$13))</f>
        <v>93.255102498039179</v>
      </c>
      <c r="S212" s="11">
        <f>IF(RZS_100[[#This Row],[名前]]="","",(100+((VLOOKUP(RZS_100[[#This Row],[No用]],Q_Stat[],25,FALSE)-Statistics100!L$6)*10)/Statistics100!L$13))</f>
        <v>86.727782334851298</v>
      </c>
      <c r="T212" s="11">
        <f>IF(RZS_100[[#This Row],[名前]]="","",(100+((VLOOKUP(RZS_100[[#This Row],[No用]],Q_Stat[],26,FALSE)-Statistics100!M$6)*10)/Statistics100!M$13))</f>
        <v>93.255102498039179</v>
      </c>
      <c r="U212" s="11">
        <f>IF(RZS_100[[#This Row],[名前]]="","",(100+((VLOOKUP(RZS_100[[#This Row],[No用]],Q_Stat[],27,FALSE)-Statistics100!N$6)*10)/Statistics100!N$13))</f>
        <v>87.473761782072756</v>
      </c>
      <c r="V212" s="11">
        <f>IF(RZS_100[[#This Row],[名前]]="","",(100+((VLOOKUP(RZS_100[[#This Row],[No用]],Q_Stat[],28,FALSE)-Statistics100!O$6)*10)/Statistics100!O$13))</f>
        <v>95.503401665359448</v>
      </c>
      <c r="W212" s="11">
        <f>IF(RZS_100[[#This Row],[名前]]="","",(100+((VLOOKUP(RZS_100[[#This Row],[No用]],Q_Stat[],29,FALSE)-Statistics100!P$6)*10)/Statistics100!P$13))</f>
        <v>92.29154571204478</v>
      </c>
      <c r="X212" s="11">
        <f>IF(RZS_100[[#This Row],[名前]]="","",(100+((VLOOKUP(RZS_100[[#This Row],[No用]],Q_Stat[],30,FALSE)-Statistics100!Q$6)*10)/Statistics100!Q$13))</f>
        <v>102.69795900078432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赤間颯</v>
      </c>
      <c r="D213" t="str">
        <f>IFERROR(Stat[[#This Row],[じゃんけん]],"")</f>
        <v>パー</v>
      </c>
      <c r="E213" t="str">
        <f>IFERROR(Stat[[#This Row],[ポジション]],"")</f>
        <v>Li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ユニフォーム赤間颯ICONIC</v>
      </c>
      <c r="I213" s="11">
        <f>IF(RZS_100[[#This Row],[名前]]="","",(100+((VLOOKUP(RZS_100[[#This Row],[No用]],Q_Stat[],13,FALSE)-Statistics100!B$6)*10)/Statistics100!B$13))</f>
        <v>86.510204996078357</v>
      </c>
      <c r="J213" s="11">
        <f>IF(RZS_100[[#This Row],[名前]]="","",(100+((VLOOKUP(RZS_100[[#This Row],[No用]],Q_Stat[],14,FALSE)-Statistics100!C$6)*10)/Statistics100!C$13))</f>
        <v>83.619534638095161</v>
      </c>
      <c r="K213" s="11">
        <f>IF(RZS_100[[#This Row],[名前]]="","",(100+((VLOOKUP(RZS_100[[#This Row],[No用]],Q_Stat[],15,FALSE)-Statistics100!D$6)*10)/Statistics100!D$13))</f>
        <v>100</v>
      </c>
      <c r="L213" s="11">
        <f>IF(RZS_100[[#This Row],[名前]]="","",(100+((VLOOKUP(RZS_100[[#This Row],[No用]],Q_Stat[],16,FALSE)-Statistics100!E$6)*10)/Statistics100!E$13))</f>
        <v>96.627551249019589</v>
      </c>
      <c r="M213" s="11">
        <f>IF(RZS_100[[#This Row],[名前]]="","",(100+((VLOOKUP(RZS_100[[#This Row],[No用]],Q_Stat[],17,FALSE)-Statistics100!F$6)*10)/Statistics100!F$13))</f>
        <v>100</v>
      </c>
      <c r="N213" s="11">
        <f>IF(RZS_100[[#This Row],[名前]]="","",(100+((VLOOKUP(RZS_100[[#This Row],[No用]],Q_Stat[],18,FALSE)-Statistics100!G$6)*10)/Statistics100!G$13))</f>
        <v>83.137756245097947</v>
      </c>
      <c r="O213" s="11">
        <f>IF(RZS_100[[#This Row],[名前]]="","",(100+((VLOOKUP(RZS_100[[#This Row],[No用]],Q_Stat[],19,FALSE)-Statistics100!H$6)*10)/Statistics100!H$13))</f>
        <v>110.79183600313731</v>
      </c>
      <c r="P213" s="11">
        <f>IF(RZS_100[[#This Row],[名前]]="","",(100+((VLOOKUP(RZS_100[[#This Row],[No用]],Q_Stat[],20,FALSE)-Statistics100!I$6)*10)/Statistics100!I$13))</f>
        <v>108.99319666928109</v>
      </c>
      <c r="Q213" s="11">
        <f>IF(RZS_100[[#This Row],[名前]]="","",(100+((VLOOKUP(RZS_100[[#This Row],[No用]],Q_Stat[],21,FALSE)-Statistics100!J$6)*10)/Statistics100!J$13))</f>
        <v>110.11734625294123</v>
      </c>
      <c r="R213" s="11">
        <f>IF(RZS_100[[#This Row],[名前]]="","",(100+((VLOOKUP(RZS_100[[#This Row],[No用]],Q_Stat[],22,FALSE)-Statistics100!K$6)*10)/Statistics100!K$13))</f>
        <v>106.74489750196082</v>
      </c>
      <c r="S213" s="11">
        <f>IF(RZS_100[[#This Row],[名前]]="","",(100+((VLOOKUP(RZS_100[[#This Row],[No用]],Q_Stat[],25,FALSE)-Statistics100!L$6)*10)/Statistics100!L$13))</f>
        <v>93.255102498039179</v>
      </c>
      <c r="T213" s="11">
        <f>IF(RZS_100[[#This Row],[名前]]="","",(100+((VLOOKUP(RZS_100[[#This Row],[No用]],Q_Stat[],26,FALSE)-Statistics100!M$6)*10)/Statistics100!M$13))</f>
        <v>91.906122997647017</v>
      </c>
      <c r="U213" s="11">
        <f>IF(RZS_100[[#This Row],[名前]]="","",(100+((VLOOKUP(RZS_100[[#This Row],[No用]],Q_Stat[],27,FALSE)-Statistics100!N$6)*10)/Statistics100!N$13))</f>
        <v>92.29154571204478</v>
      </c>
      <c r="V213" s="11">
        <f>IF(RZS_100[[#This Row],[名前]]="","",(100+((VLOOKUP(RZS_100[[#This Row],[No用]],Q_Stat[],28,FALSE)-Statistics100!O$6)*10)/Statistics100!O$13))</f>
        <v>100</v>
      </c>
      <c r="W213" s="11">
        <f>IF(RZS_100[[#This Row],[名前]]="","",(100+((VLOOKUP(RZS_100[[#This Row],[No用]],Q_Stat[],29,FALSE)-Statistics100!P$6)*10)/Statistics100!P$13))</f>
        <v>113.48979500392164</v>
      </c>
      <c r="X213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57" workbookViewId="0">
      <selection activeCell="A73" sqref="A73:XFD73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101.99848814872914</v>
      </c>
      <c r="J2" s="12">
        <f>IF(RZS_WS[[#This Row],[名前]]="","",(100+((VLOOKUP(RZS_WS[[#This Row],[No用]],Q_Stat[],14,FALSE)-Statistics100!C$23)*5)/Statistics100!C$30))</f>
        <v>96.627551249019589</v>
      </c>
      <c r="K2" s="12">
        <f>IF(RZS_WS[[#This Row],[名前]]="","",(100+((VLOOKUP(RZS_WS[[#This Row],[No用]],Q_Stat[],15,FALSE)-Statistics100!D$23)*5)/Statistics100!D$30))</f>
        <v>96.14577285602239</v>
      </c>
      <c r="L2" s="12">
        <f>IF(RZS_WS[[#This Row],[名前]]="","",(100+((VLOOKUP(RZS_WS[[#This Row],[No用]],Q_Stat[],16,FALSE)-Statistics100!E$23)*5)/Statistics100!E$30))</f>
        <v>89.208163996862694</v>
      </c>
      <c r="M2" s="12">
        <f>IF(RZS_WS[[#This Row],[名前]]="","",(100+((VLOOKUP(RZS_WS[[#This Row],[No用]],Q_Stat[],17,FALSE)-Statistics100!F$23)*5)/Statistics100!F$30))</f>
        <v>94.941326873529391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95.278571748627428</v>
      </c>
      <c r="Q2" s="12">
        <f>IF(RZS_WS[[#This Row],[名前]]="","",(100+((VLOOKUP(RZS_WS[[#This Row],[No用]],Q_Stat[],21,FALSE)-Statistics100!J$23)*5)/Statistics100!J$30))</f>
        <v>95.740064735603696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95.257493943933795</v>
      </c>
      <c r="T2" s="12">
        <f>IF(RZS_WS[[#This Row],[名前]]="","",(100+((VLOOKUP(RZS_WS[[#This Row],[No用]],Q_Stat[],26,FALSE)-Statistics100!M$23)*5)/Statistics100!M$30))</f>
        <v>99.308215640824528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96.14577285602239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104.99622037182283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91.00680333071891</v>
      </c>
      <c r="M3" s="12">
        <f>IF(RZS_WS[[#This Row],[名前]]="","",(100+((VLOOKUP(RZS_WS[[#This Row],[No用]],Q_Stat[],17,FALSE)-Statistics100!F$23)*5)/Statistics100!F$30))</f>
        <v>94.941326873529391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101.49886611154685</v>
      </c>
      <c r="P3" s="12">
        <f>IF(RZS_WS[[#This Row],[名前]]="","",(100+((VLOOKUP(RZS_WS[[#This Row],[No用]],Q_Stat[],20,FALSE)-Statistics100!I$23)*5)/Statistics100!I$30))</f>
        <v>99.325510249803912</v>
      </c>
      <c r="Q3" s="12">
        <f>IF(RZS_WS[[#This Row],[名前]]="","",(100+((VLOOKUP(RZS_WS[[#This Row],[No用]],Q_Stat[],21,FALSE)-Statistics100!J$23)*5)/Statistics100!J$30))</f>
        <v>97.160043157069126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98.208386601041653</v>
      </c>
      <c r="T3" s="12">
        <f>IF(RZS_WS[[#This Row],[名前]]="","",(100+((VLOOKUP(RZS_WS[[#This Row],[No用]],Q_Stat[],26,FALSE)-Statistics100!M$23)*5)/Statistics100!M$30))</f>
        <v>101.38356871835094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107.99395259491652</v>
      </c>
      <c r="J4" s="12">
        <f>IF(RZS_WS[[#This Row],[名前]]="","",(100+((VLOOKUP(RZS_WS[[#This Row],[No用]],Q_Stat[],14,FALSE)-Statistics100!C$23)*5)/Statistics100!C$30))</f>
        <v>96.627551249019589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85.61088532915025</v>
      </c>
      <c r="M4" s="12">
        <f>IF(RZS_WS[[#This Row],[名前]]="","",(100+((VLOOKUP(RZS_WS[[#This Row],[No用]],Q_Stat[],17,FALSE)-Statistics100!F$23)*5)/Statistics100!F$30))</f>
        <v>94.941326873529391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101.49886611154685</v>
      </c>
      <c r="P4" s="12">
        <f>IF(RZS_WS[[#This Row],[名前]]="","",(100+((VLOOKUP(RZS_WS[[#This Row],[No用]],Q_Stat[],20,FALSE)-Statistics100!I$23)*5)/Statistics100!I$30))</f>
        <v>102.02346925058825</v>
      </c>
      <c r="Q4" s="12">
        <f>IF(RZS_WS[[#This Row],[名前]]="","",(100+((VLOOKUP(RZS_WS[[#This Row],[No用]],Q_Stat[],21,FALSE)-Statistics100!J$23)*5)/Statistics100!J$30))</f>
        <v>97.160043157069126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98.208386601041653</v>
      </c>
      <c r="T4" s="12">
        <f>IF(RZS_WS[[#This Row],[名前]]="","",(100+((VLOOKUP(RZS_WS[[#This Row],[No用]],Q_Stat[],26,FALSE)-Statistics100!M$23)*5)/Statistics100!M$30))</f>
        <v>103.45892179587734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103.99697629745826</v>
      </c>
      <c r="J5" s="12">
        <f>IF(RZS_WS[[#This Row],[名前]]="","",(100+((VLOOKUP(RZS_WS[[#This Row],[No用]],Q_Stat[],14,FALSE)-Statistics100!C$23)*5)/Statistics100!C$30))</f>
        <v>97.751700832679731</v>
      </c>
      <c r="K5" s="12">
        <f>IF(RZS_WS[[#This Row],[名前]]="","",(100+((VLOOKUP(RZS_WS[[#This Row],[No用]],Q_Stat[],15,FALSE)-Statistics100!D$23)*5)/Statistics100!D$30))</f>
        <v>96.14577285602239</v>
      </c>
      <c r="L5" s="12">
        <f>IF(RZS_WS[[#This Row],[名前]]="","",(100+((VLOOKUP(RZS_WS[[#This Row],[No用]],Q_Stat[],16,FALSE)-Statistics100!E$23)*5)/Statistics100!E$30))</f>
        <v>87.409524663006465</v>
      </c>
      <c r="M5" s="12">
        <f>IF(RZS_WS[[#This Row],[名前]]="","",(100+((VLOOKUP(RZS_WS[[#This Row],[No用]],Q_Stat[],17,FALSE)-Statistics100!F$23)*5)/Statistics100!F$30))</f>
        <v>94.941326873529391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104.49659833464055</v>
      </c>
      <c r="P5" s="12">
        <f>IF(RZS_WS[[#This Row],[名前]]="","",(100+((VLOOKUP(RZS_WS[[#This Row],[No用]],Q_Stat[],20,FALSE)-Statistics100!I$23)*5)/Statistics100!I$30))</f>
        <v>100.67448975019609</v>
      </c>
      <c r="Q5" s="12">
        <f>IF(RZS_WS[[#This Row],[名前]]="","",(100+((VLOOKUP(RZS_WS[[#This Row],[No用]],Q_Stat[],21,FALSE)-Statistics100!J$23)*5)/Statistics100!J$30))</f>
        <v>98.58002157853457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98.419164647977937</v>
      </c>
      <c r="T5" s="12">
        <f>IF(RZS_WS[[#This Row],[名前]]="","",(100+((VLOOKUP(RZS_WS[[#This Row],[No用]],Q_Stat[],26,FALSE)-Statistics100!M$23)*5)/Statistics100!M$30))</f>
        <v>100.69178435917547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96.14577285602239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95.00377962817717</v>
      </c>
      <c r="J6" s="12">
        <f>IF(RZS_WS[[#This Row],[名前]]="","",(100+((VLOOKUP(RZS_WS[[#This Row],[No用]],Q_Stat[],14,FALSE)-Statistics100!C$23)*5)/Statistics100!C$30))</f>
        <v>95.503401665359448</v>
      </c>
      <c r="K6" s="12">
        <f>IF(RZS_WS[[#This Row],[名前]]="","",(100+((VLOOKUP(RZS_WS[[#This Row],[No用]],Q_Stat[],15,FALSE)-Statistics100!D$23)*5)/Statistics100!D$30))</f>
        <v>107.70845428795522</v>
      </c>
      <c r="L6" s="12">
        <f>IF(RZS_WS[[#This Row],[名前]]="","",(100+((VLOOKUP(RZS_WS[[#This Row],[No用]],Q_Stat[],16,FALSE)-Statistics100!E$23)*5)/Statistics100!E$30))</f>
        <v>105.39591800156866</v>
      </c>
      <c r="M6" s="12">
        <f>IF(RZS_WS[[#This Row],[名前]]="","",(100+((VLOOKUP(RZS_WS[[#This Row],[No用]],Q_Stat[],17,FALSE)-Statistics100!F$23)*5)/Statistics100!F$30))</f>
        <v>101.6862243754902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113.48979500392164</v>
      </c>
      <c r="P6" s="12">
        <f>IF(RZS_WS[[#This Row],[名前]]="","",(100+((VLOOKUP(RZS_WS[[#This Row],[No用]],Q_Stat[],20,FALSE)-Statistics100!I$23)*5)/Statistics100!I$30))</f>
        <v>95.278571748627428</v>
      </c>
      <c r="Q6" s="12">
        <f>IF(RZS_WS[[#This Row],[名前]]="","",(100+((VLOOKUP(RZS_WS[[#This Row],[No用]],Q_Stat[],21,FALSE)-Statistics100!J$23)*5)/Statistics100!J$30))</f>
        <v>102.83995684293087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104.95328410300247</v>
      </c>
      <c r="T6" s="12">
        <f>IF(RZS_WS[[#This Row],[名前]]="","",(100+((VLOOKUP(RZS_WS[[#This Row],[No用]],Q_Stat[],26,FALSE)-Statistics100!M$23)*5)/Statistics100!M$30))</f>
        <v>97.232862563298127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107.70845428795522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98.001511851270863</v>
      </c>
      <c r="J7" s="12">
        <f>IF(RZS_WS[[#This Row],[名前]]="","",(100+((VLOOKUP(RZS_WS[[#This Row],[No用]],Q_Stat[],14,FALSE)-Statistics100!C$23)*5)/Statistics100!C$30))</f>
        <v>98.875850416339858</v>
      </c>
      <c r="K7" s="12">
        <f>IF(RZS_WS[[#This Row],[名前]]="","",(100+((VLOOKUP(RZS_WS[[#This Row],[No用]],Q_Stat[],15,FALSE)-Statistics100!D$23)*5)/Statistics100!D$30))</f>
        <v>111.56268143193283</v>
      </c>
      <c r="L7" s="12">
        <f>IF(RZS_WS[[#This Row],[名前]]="","",(100+((VLOOKUP(RZS_WS[[#This Row],[No用]],Q_Stat[],16,FALSE)-Statistics100!E$23)*5)/Statistics100!E$30))</f>
        <v>107.19455733542488</v>
      </c>
      <c r="M7" s="12">
        <f>IF(RZS_WS[[#This Row],[名前]]="","",(100+((VLOOKUP(RZS_WS[[#This Row],[No用]],Q_Stat[],17,FALSE)-Statistics100!F$23)*5)/Statistics100!F$30))</f>
        <v>101.6862243754902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114.98866111546849</v>
      </c>
      <c r="P7" s="12">
        <f>IF(RZS_WS[[#This Row],[名前]]="","",(100+((VLOOKUP(RZS_WS[[#This Row],[No用]],Q_Stat[],20,FALSE)-Statistics100!I$23)*5)/Statistics100!I$30))</f>
        <v>99.325510249803912</v>
      </c>
      <c r="Q7" s="12">
        <f>IF(RZS_WS[[#This Row],[名前]]="","",(100+((VLOOKUP(RZS_WS[[#This Row],[No用]],Q_Stat[],21,FALSE)-Statistics100!J$23)*5)/Statistics100!J$30))</f>
        <v>104.2599352643963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107.90417676011033</v>
      </c>
      <c r="T7" s="12">
        <f>IF(RZS_WS[[#This Row],[名前]]="","",(100+((VLOOKUP(RZS_WS[[#This Row],[No用]],Q_Stat[],26,FALSE)-Statistics100!M$23)*5)/Statistics100!M$30))</f>
        <v>99.308215640824528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111.56268143193283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100</v>
      </c>
      <c r="J8" s="12">
        <f>IF(RZS_WS[[#This Row],[名前]]="","",(100+((VLOOKUP(RZS_WS[[#This Row],[No用]],Q_Stat[],14,FALSE)-Statistics100!C$23)*5)/Statistics100!C$30))</f>
        <v>96.627551249019589</v>
      </c>
      <c r="K8" s="12">
        <f>IF(RZS_WS[[#This Row],[名前]]="","",(100+((VLOOKUP(RZS_WS[[#This Row],[No用]],Q_Stat[],15,FALSE)-Statistics100!D$23)*5)/Statistics100!D$30))</f>
        <v>111.56268143193283</v>
      </c>
      <c r="L8" s="12">
        <f>IF(RZS_WS[[#This Row],[名前]]="","",(100+((VLOOKUP(RZS_WS[[#This Row],[No用]],Q_Stat[],16,FALSE)-Statistics100!E$23)*5)/Statistics100!E$30))</f>
        <v>103.59727866771243</v>
      </c>
      <c r="M8" s="12">
        <f>IF(RZS_WS[[#This Row],[名前]]="","",(100+((VLOOKUP(RZS_WS[[#This Row],[No用]],Q_Stat[],17,FALSE)-Statistics100!F$23)*5)/Statistics100!F$30))</f>
        <v>101.6862243754902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114.98866111546849</v>
      </c>
      <c r="P8" s="12">
        <f>IF(RZS_WS[[#This Row],[名前]]="","",(100+((VLOOKUP(RZS_WS[[#This Row],[No用]],Q_Stat[],20,FALSE)-Statistics100!I$23)*5)/Statistics100!I$30))</f>
        <v>100.67448975019609</v>
      </c>
      <c r="Q8" s="12">
        <f>IF(RZS_WS[[#This Row],[名前]]="","",(100+((VLOOKUP(RZS_WS[[#This Row],[No用]],Q_Stat[],21,FALSE)-Statistics100!J$23)*5)/Statistics100!J$30))</f>
        <v>104.2599352643963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107.90417676011033</v>
      </c>
      <c r="T8" s="12">
        <f>IF(RZS_WS[[#This Row],[名前]]="","",(100+((VLOOKUP(RZS_WS[[#This Row],[No用]],Q_Stat[],26,FALSE)-Statistics100!M$23)*5)/Statistics100!M$30))</f>
        <v>100.69178435917547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111.56268143193283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96.003023702541739</v>
      </c>
      <c r="J9" s="12">
        <f>IF(RZS_WS[[#This Row],[名前]]="","",(100+((VLOOKUP(RZS_WS[[#This Row],[No用]],Q_Stat[],14,FALSE)-Statistics100!C$23)*5)/Statistics100!C$30))</f>
        <v>102.24829916732027</v>
      </c>
      <c r="K9" s="12">
        <f>IF(RZS_WS[[#This Row],[名前]]="","",(100+((VLOOKUP(RZS_WS[[#This Row],[No用]],Q_Stat[],15,FALSE)-Statistics100!D$23)*5)/Statistics100!D$30))</f>
        <v>107.70845428795522</v>
      </c>
      <c r="L9" s="12">
        <f>IF(RZS_WS[[#This Row],[名前]]="","",(100+((VLOOKUP(RZS_WS[[#This Row],[No用]],Q_Stat[],16,FALSE)-Statistics100!E$23)*5)/Statistics100!E$30))</f>
        <v>110.79183600313731</v>
      </c>
      <c r="M9" s="12">
        <f>IF(RZS_WS[[#This Row],[名前]]="","",(100+((VLOOKUP(RZS_WS[[#This Row],[No用]],Q_Stat[],17,FALSE)-Statistics100!F$23)*5)/Statistics100!F$30))</f>
        <v>101.6862243754902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116.48752722701533</v>
      </c>
      <c r="P9" s="12">
        <f>IF(RZS_WS[[#This Row],[名前]]="","",(100+((VLOOKUP(RZS_WS[[#This Row],[No用]],Q_Stat[],20,FALSE)-Statistics100!I$23)*5)/Statistics100!I$30))</f>
        <v>97.976530749411751</v>
      </c>
      <c r="Q9" s="12">
        <f>IF(RZS_WS[[#This Row],[名前]]="","",(100+((VLOOKUP(RZS_WS[[#This Row],[No用]],Q_Stat[],21,FALSE)-Statistics100!J$23)*5)/Statistics100!J$30))</f>
        <v>105.67991368586175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108.11495480704662</v>
      </c>
      <c r="T9" s="12">
        <f>IF(RZS_WS[[#This Row],[名前]]="","",(100+((VLOOKUP(RZS_WS[[#This Row],[No用]],Q_Stat[],26,FALSE)-Statistics100!M$23)*5)/Statistics100!M$30))</f>
        <v>97.924646922473599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107.70845428795522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32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103.99697629745826</v>
      </c>
      <c r="J10" s="12">
        <f>IF(RZS_WS[[#This Row],[名前]]="","",(100+((VLOOKUP(RZS_WS[[#This Row],[No用]],Q_Stat[],14,FALSE)-Statistics100!C$23)*5)/Statistics100!C$30))</f>
        <v>105.62074791830068</v>
      </c>
      <c r="K10" s="12">
        <f>IF(RZS_WS[[#This Row],[名前]]="","",(100+((VLOOKUP(RZS_WS[[#This Row],[No用]],Q_Stat[],15,FALSE)-Statistics100!D$23)*5)/Statistics100!D$30))</f>
        <v>96.14577285602239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94.941326873529391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97.002267776906308</v>
      </c>
      <c r="P10" s="12">
        <f>IF(RZS_WS[[#This Row],[名前]]="","",(100+((VLOOKUP(RZS_WS[[#This Row],[No用]],Q_Stat[],20,FALSE)-Statistics100!I$23)*5)/Statistics100!I$30))</f>
        <v>95.278571748627428</v>
      </c>
      <c r="Q10" s="12">
        <f>IF(RZS_WS[[#This Row],[名前]]="","",(100+((VLOOKUP(RZS_WS[[#This Row],[No用]],Q_Stat[],21,FALSE)-Statistics100!J$23)*5)/Statistics100!J$30))</f>
        <v>94.320086314138251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99.473054882659312</v>
      </c>
      <c r="T10" s="12">
        <f>IF(RZS_WS[[#This Row],[名前]]="","",(100+((VLOOKUP(RZS_WS[[#This Row],[No用]],Q_Stat[],26,FALSE)-Statistics100!M$23)*5)/Statistics100!M$30))</f>
        <v>100.69178435917547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96.14577285602239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33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100.99924407436457</v>
      </c>
      <c r="J11" s="12">
        <f>IF(RZS_WS[[#This Row],[名前]]="","",(100+((VLOOKUP(RZS_WS[[#This Row],[No用]],Q_Stat[],14,FALSE)-Statistics100!C$23)*5)/Statistics100!C$30))</f>
        <v>104.49659833464055</v>
      </c>
      <c r="K11" s="12">
        <f>IF(RZS_WS[[#This Row],[名前]]="","",(100+((VLOOKUP(RZS_WS[[#This Row],[No用]],Q_Stat[],15,FALSE)-Statistics100!D$23)*5)/Statistics100!D$30))</f>
        <v>84.583091424089559</v>
      </c>
      <c r="L11" s="12">
        <f>IF(RZS_WS[[#This Row],[名前]]="","",(100+((VLOOKUP(RZS_WS[[#This Row],[No用]],Q_Stat[],16,FALSE)-Statistics100!E$23)*5)/Statistics100!E$30))</f>
        <v>98.201360666143785</v>
      </c>
      <c r="M11" s="12">
        <f>IF(RZS_WS[[#This Row],[名前]]="","",(100+((VLOOKUP(RZS_WS[[#This Row],[No用]],Q_Stat[],17,FALSE)-Statistics100!F$23)*5)/Statistics100!F$30))</f>
        <v>94.941326873529391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92.505669442265756</v>
      </c>
      <c r="P11" s="12">
        <f>IF(RZS_WS[[#This Row],[名前]]="","",(100+((VLOOKUP(RZS_WS[[#This Row],[No用]],Q_Stat[],20,FALSE)-Statistics100!I$23)*5)/Statistics100!I$30))</f>
        <v>91.23163324745093</v>
      </c>
      <c r="Q11" s="12">
        <f>IF(RZS_WS[[#This Row],[名前]]="","",(100+((VLOOKUP(RZS_WS[[#This Row],[No用]],Q_Stat[],21,FALSE)-Statistics100!J$23)*5)/Statistics100!J$30))</f>
        <v>90.060151049741947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95.257493943933795</v>
      </c>
      <c r="T11" s="12">
        <f>IF(RZS_WS[[#This Row],[名前]]="","",(100+((VLOOKUP(RZS_WS[[#This Row],[No用]],Q_Stat[],26,FALSE)-Statistics100!M$23)*5)/Statistics100!M$30))</f>
        <v>98.616431281649056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84.583091424089559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34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109.99244074364566</v>
      </c>
      <c r="J12" s="12">
        <f>IF(RZS_WS[[#This Row],[名前]]="","",(100+((VLOOKUP(RZS_WS[[#This Row],[No用]],Q_Stat[],14,FALSE)-Statistics100!C$23)*5)/Statistics100!C$30))</f>
        <v>105.62074791830068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96.40272133228757</v>
      </c>
      <c r="M12" s="12">
        <f>IF(RZS_WS[[#This Row],[名前]]="","",(100+((VLOOKUP(RZS_WS[[#This Row],[No用]],Q_Stat[],17,FALSE)-Statistics100!F$23)*5)/Statistics100!F$30))</f>
        <v>94.941326873529391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98.501133888453154</v>
      </c>
      <c r="P12" s="12">
        <f>IF(RZS_WS[[#This Row],[名前]]="","",(100+((VLOOKUP(RZS_WS[[#This Row],[No用]],Q_Stat[],20,FALSE)-Statistics100!I$23)*5)/Statistics100!I$30))</f>
        <v>102.02346925058825</v>
      </c>
      <c r="Q12" s="12">
        <f>IF(RZS_WS[[#This Row],[名前]]="","",(100+((VLOOKUP(RZS_WS[[#This Row],[No用]],Q_Stat[],21,FALSE)-Statistics100!J$23)*5)/Statistics100!J$30))</f>
        <v>95.740064735603696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102.42394753976717</v>
      </c>
      <c r="T12" s="12">
        <f>IF(RZS_WS[[#This Row],[名前]]="","",(100+((VLOOKUP(RZS_WS[[#This Row],[No用]],Q_Stat[],26,FALSE)-Statistics100!M$23)*5)/Statistics100!M$30))</f>
        <v>104.84249051422827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35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104.99622037182283</v>
      </c>
      <c r="J13" s="12">
        <f>IF(RZS_WS[[#This Row],[名前]]="","",(100+((VLOOKUP(RZS_WS[[#This Row],[No用]],Q_Stat[],14,FALSE)-Statistics100!C$23)*5)/Statistics100!C$30))</f>
        <v>108.99319666928109</v>
      </c>
      <c r="K13" s="12">
        <f>IF(RZS_WS[[#This Row],[名前]]="","",(100+((VLOOKUP(RZS_WS[[#This Row],[No用]],Q_Stat[],15,FALSE)-Statistics100!D$23)*5)/Statistics100!D$30))</f>
        <v>92.29154571204478</v>
      </c>
      <c r="L13" s="12">
        <f>IF(RZS_WS[[#This Row],[名前]]="","",(100+((VLOOKUP(RZS_WS[[#This Row],[No用]],Q_Stat[],16,FALSE)-Statistics100!E$23)*5)/Statistics100!E$30))</f>
        <v>105.39591800156866</v>
      </c>
      <c r="M13" s="12">
        <f>IF(RZS_WS[[#This Row],[名前]]="","",(100+((VLOOKUP(RZS_WS[[#This Row],[No用]],Q_Stat[],17,FALSE)-Statistics100!F$23)*5)/Statistics100!F$30))</f>
        <v>94.941326873529391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95.503401665359448</v>
      </c>
      <c r="P13" s="12">
        <f>IF(RZS_WS[[#This Row],[名前]]="","",(100+((VLOOKUP(RZS_WS[[#This Row],[No用]],Q_Stat[],20,FALSE)-Statistics100!I$23)*5)/Statistics100!I$30))</f>
        <v>93.929592248235267</v>
      </c>
      <c r="Q13" s="12">
        <f>IF(RZS_WS[[#This Row],[名前]]="","",(100+((VLOOKUP(RZS_WS[[#This Row],[No用]],Q_Stat[],21,FALSE)-Statistics100!J$23)*5)/Statistics100!J$30))</f>
        <v>92.900107892672821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99.894610976531865</v>
      </c>
      <c r="T13" s="12">
        <f>IF(RZS_WS[[#This Row],[名前]]="","",(100+((VLOOKUP(RZS_WS[[#This Row],[No用]],Q_Stat[],26,FALSE)-Statistics100!M$23)*5)/Statistics100!M$30))</f>
        <v>101.38356871835094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92.29154571204478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36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90.007559256354341</v>
      </c>
      <c r="J14" s="12">
        <f>IF(RZS_WS[[#This Row],[名前]]="","",(100+((VLOOKUP(RZS_WS[[#This Row],[No用]],Q_Stat[],14,FALSE)-Statistics100!C$23)*5)/Statistics100!C$30))</f>
        <v>94.37925208169932</v>
      </c>
      <c r="K14" s="12">
        <f>IF(RZS_WS[[#This Row],[名前]]="","",(100+((VLOOKUP(RZS_WS[[#This Row],[No用]],Q_Stat[],15,FALSE)-Statistics100!D$23)*5)/Statistics100!D$30))</f>
        <v>88.43731856806717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98.313775624509802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104.49659833464055</v>
      </c>
      <c r="P14" s="12">
        <f>IF(RZS_WS[[#This Row],[名前]]="","",(100+((VLOOKUP(RZS_WS[[#This Row],[No用]],Q_Stat[],20,FALSE)-Statistics100!I$23)*5)/Statistics100!I$30))</f>
        <v>93.929592248235267</v>
      </c>
      <c r="Q14" s="12">
        <f>IF(RZS_WS[[#This Row],[名前]]="","",(100+((VLOOKUP(RZS_WS[[#This Row],[No用]],Q_Stat[],21,FALSE)-Statistics100!J$23)*5)/Statistics100!J$30))</f>
        <v>94.320086314138251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96.100606131678902</v>
      </c>
      <c r="T14" s="12">
        <f>IF(RZS_WS[[#This Row],[名前]]="","",(100+((VLOOKUP(RZS_WS[[#This Row],[No用]],Q_Stat[],26,FALSE)-Statistics100!M$23)*5)/Statistics100!M$30))</f>
        <v>92.390372049069839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88.43731856806717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37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93.005291479448033</v>
      </c>
      <c r="J15" s="12">
        <f>IF(RZS_WS[[#This Row],[名前]]="","",(100+((VLOOKUP(RZS_WS[[#This Row],[No用]],Q_Stat[],14,FALSE)-Statistics100!C$23)*5)/Statistics100!C$30))</f>
        <v>97.751700832679731</v>
      </c>
      <c r="K15" s="12">
        <f>IF(RZS_WS[[#This Row],[名前]]="","",(100+((VLOOKUP(RZS_WS[[#This Row],[No用]],Q_Stat[],15,FALSE)-Statistics100!D$23)*5)/Statistics100!D$30))</f>
        <v>96.14577285602239</v>
      </c>
      <c r="L15" s="12">
        <f>IF(RZS_WS[[#This Row],[名前]]="","",(100+((VLOOKUP(RZS_WS[[#This Row],[No用]],Q_Stat[],16,FALSE)-Statistics100!E$23)*5)/Statistics100!E$30))</f>
        <v>101.79863933385622</v>
      </c>
      <c r="M15" s="12">
        <f>IF(RZS_WS[[#This Row],[名前]]="","",(100+((VLOOKUP(RZS_WS[[#This Row],[No用]],Q_Stat[],17,FALSE)-Statistics100!F$23)*5)/Statistics100!F$30))</f>
        <v>98.313775624509802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105.9954644461874</v>
      </c>
      <c r="P15" s="12">
        <f>IF(RZS_WS[[#This Row],[名前]]="","",(100+((VLOOKUP(RZS_WS[[#This Row],[No用]],Q_Stat[],20,FALSE)-Statistics100!I$23)*5)/Statistics100!I$30))</f>
        <v>97.976530749411751</v>
      </c>
      <c r="Q15" s="12">
        <f>IF(RZS_WS[[#This Row],[名前]]="","",(100+((VLOOKUP(RZS_WS[[#This Row],[No用]],Q_Stat[],21,FALSE)-Statistics100!J$23)*5)/Statistics100!J$30))</f>
        <v>95.740064735603696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99.262276835723029</v>
      </c>
      <c r="T15" s="12">
        <f>IF(RZS_WS[[#This Row],[名前]]="","",(100+((VLOOKUP(RZS_WS[[#This Row],[No用]],Q_Stat[],26,FALSE)-Statistics100!M$23)*5)/Statistics100!M$30))</f>
        <v>94.465725126596254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96.14577285602239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38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91.00680333071891</v>
      </c>
      <c r="J16" s="12">
        <f>IF(RZS_WS[[#This Row],[名前]]="","",(100+((VLOOKUP(RZS_WS[[#This Row],[No用]],Q_Stat[],14,FALSE)-Statistics100!C$23)*5)/Statistics100!C$30))</f>
        <v>98.875850416339858</v>
      </c>
      <c r="K16" s="12">
        <f>IF(RZS_WS[[#This Row],[名前]]="","",(100+((VLOOKUP(RZS_WS[[#This Row],[No用]],Q_Stat[],15,FALSE)-Statistics100!D$23)*5)/Statistics100!D$30))</f>
        <v>88.43731856806717</v>
      </c>
      <c r="L16" s="12">
        <f>IF(RZS_WS[[#This Row],[名前]]="","",(100+((VLOOKUP(RZS_WS[[#This Row],[No用]],Q_Stat[],16,FALSE)-Statistics100!E$23)*5)/Statistics100!E$30))</f>
        <v>103.59727866771243</v>
      </c>
      <c r="M16" s="12">
        <f>IF(RZS_WS[[#This Row],[名前]]="","",(100+((VLOOKUP(RZS_WS[[#This Row],[No用]],Q_Stat[],17,FALSE)-Statistics100!F$23)*5)/Statistics100!F$30))</f>
        <v>98.313775624509802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108.99319666928109</v>
      </c>
      <c r="P16" s="12">
        <f>IF(RZS_WS[[#This Row],[名前]]="","",(100+((VLOOKUP(RZS_WS[[#This Row],[No用]],Q_Stat[],20,FALSE)-Statistics100!I$23)*5)/Statistics100!I$30))</f>
        <v>96.627551249019589</v>
      </c>
      <c r="Q16" s="12">
        <f>IF(RZS_WS[[#This Row],[名前]]="","",(100+((VLOOKUP(RZS_WS[[#This Row],[No用]],Q_Stat[],21,FALSE)-Statistics100!J$23)*5)/Statistics100!J$30))</f>
        <v>98.58002157853457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99.262276835723029</v>
      </c>
      <c r="T16" s="12">
        <f>IF(RZS_WS[[#This Row],[名前]]="","",(100+((VLOOKUP(RZS_WS[[#This Row],[No用]],Q_Stat[],26,FALSE)-Statistics100!M$23)*5)/Statistics100!M$30))</f>
        <v>93.082156408245311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88.43731856806717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39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94.004535553812602</v>
      </c>
      <c r="J17" s="12">
        <f>IF(RZS_WS[[#This Row],[名前]]="","",(100+((VLOOKUP(RZS_WS[[#This Row],[No用]],Q_Stat[],14,FALSE)-Statistics100!C$23)*5)/Statistics100!C$30))</f>
        <v>102.24829916732027</v>
      </c>
      <c r="K17" s="12">
        <f>IF(RZS_WS[[#This Row],[名前]]="","",(100+((VLOOKUP(RZS_WS[[#This Row],[No用]],Q_Stat[],15,FALSE)-Statistics100!D$23)*5)/Statistics100!D$30))</f>
        <v>96.14577285602239</v>
      </c>
      <c r="L17" s="12">
        <f>IF(RZS_WS[[#This Row],[名前]]="","",(100+((VLOOKUP(RZS_WS[[#This Row],[No用]],Q_Stat[],16,FALSE)-Statistics100!E$23)*5)/Statistics100!E$30))</f>
        <v>94.60408199843134</v>
      </c>
      <c r="M17" s="12">
        <f>IF(RZS_WS[[#This Row],[名前]]="","",(100+((VLOOKUP(RZS_WS[[#This Row],[No用]],Q_Stat[],17,FALSE)-Statistics100!F$23)*5)/Statistics100!F$30))</f>
        <v>101.6862243754902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97.002267776906308</v>
      </c>
      <c r="P17" s="12">
        <f>IF(RZS_WS[[#This Row],[名前]]="","",(100+((VLOOKUP(RZS_WS[[#This Row],[No用]],Q_Stat[],20,FALSE)-Statistics100!I$23)*5)/Statistics100!I$30))</f>
        <v>95.278571748627428</v>
      </c>
      <c r="Q17" s="12">
        <f>IF(RZS_WS[[#This Row],[名前]]="","",(100+((VLOOKUP(RZS_WS[[#This Row],[No用]],Q_Stat[],21,FALSE)-Statistics100!J$23)*5)/Statistics100!J$30))</f>
        <v>95.740064735603696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96.311384178615171</v>
      </c>
      <c r="T17" s="12">
        <f>IF(RZS_WS[[#This Row],[名前]]="","",(100+((VLOOKUP(RZS_WS[[#This Row],[No用]],Q_Stat[],26,FALSE)-Statistics100!M$23)*5)/Statistics100!M$30))</f>
        <v>96.541078204122655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96.14577285602239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54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94.004535553812602</v>
      </c>
      <c r="J18" s="12">
        <f>IF(RZS_WS[[#This Row],[名前]]="","",(100+((VLOOKUP(RZS_WS[[#This Row],[No用]],Q_Stat[],14,FALSE)-Statistics100!C$23)*5)/Statistics100!C$30))</f>
        <v>92.130952914379037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91.00680333071891</v>
      </c>
      <c r="M18" s="12">
        <f>IF(RZS_WS[[#This Row],[名前]]="","",(100+((VLOOKUP(RZS_WS[[#This Row],[No用]],Q_Stat[],17,FALSE)-Statistics100!F$23)*5)/Statistics100!F$30))</f>
        <v>94.941326873529391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98.501133888453154</v>
      </c>
      <c r="P18" s="12">
        <f>IF(RZS_WS[[#This Row],[名前]]="","",(100+((VLOOKUP(RZS_WS[[#This Row],[No用]],Q_Stat[],20,FALSE)-Statistics100!I$23)*5)/Statistics100!I$30))</f>
        <v>95.278571748627428</v>
      </c>
      <c r="Q18" s="12">
        <f>IF(RZS_WS[[#This Row],[名前]]="","",(100+((VLOOKUP(RZS_WS[[#This Row],[No用]],Q_Stat[],21,FALSE)-Statistics100!J$23)*5)/Statistics100!J$30))</f>
        <v>95.740064735603696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93.149713474571044</v>
      </c>
      <c r="T18" s="12">
        <f>IF(RZS_WS[[#This Row],[名前]]="","",(100+((VLOOKUP(RZS_WS[[#This Row],[No用]],Q_Stat[],26,FALSE)-Statistics100!M$23)*5)/Statistics100!M$30))</f>
        <v>93.773940767420783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55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97.002267776906308</v>
      </c>
      <c r="J19" s="12">
        <f>IF(RZS_WS[[#This Row],[名前]]="","",(100+((VLOOKUP(RZS_WS[[#This Row],[No用]],Q_Stat[],14,FALSE)-Statistics100!C$23)*5)/Statistics100!C$30))</f>
        <v>95.503401665359448</v>
      </c>
      <c r="K19" s="12">
        <f>IF(RZS_WS[[#This Row],[名前]]="","",(100+((VLOOKUP(RZS_WS[[#This Row],[No用]],Q_Stat[],15,FALSE)-Statistics100!D$23)*5)/Statistics100!D$30))</f>
        <v>103.85422714397761</v>
      </c>
      <c r="L19" s="12">
        <f>IF(RZS_WS[[#This Row],[名前]]="","",(100+((VLOOKUP(RZS_WS[[#This Row],[No用]],Q_Stat[],16,FALSE)-Statistics100!E$23)*5)/Statistics100!E$30))</f>
        <v>92.805442664575125</v>
      </c>
      <c r="M19" s="12">
        <f>IF(RZS_WS[[#This Row],[名前]]="","",(100+((VLOOKUP(RZS_WS[[#This Row],[No用]],Q_Stat[],17,FALSE)-Statistics100!F$23)*5)/Statistics100!F$30))</f>
        <v>94.941326873529391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99.325510249803912</v>
      </c>
      <c r="Q19" s="12">
        <f>IF(RZS_WS[[#This Row],[名前]]="","",(100+((VLOOKUP(RZS_WS[[#This Row],[No用]],Q_Stat[],21,FALSE)-Statistics100!J$23)*5)/Statistics100!J$30))</f>
        <v>97.160043157069126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96.100606131678902</v>
      </c>
      <c r="T19" s="12">
        <f>IF(RZS_WS[[#This Row],[名前]]="","",(100+((VLOOKUP(RZS_WS[[#This Row],[No用]],Q_Stat[],26,FALSE)-Statistics100!M$23)*5)/Statistics100!M$30))</f>
        <v>95.849293844947184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103.85422714397761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58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100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103.59727866771243</v>
      </c>
      <c r="M20" s="12">
        <f>IF(RZS_WS[[#This Row],[名前]]="","",(100+((VLOOKUP(RZS_WS[[#This Row],[No用]],Q_Stat[],17,FALSE)-Statistics100!F$23)*5)/Statistics100!F$30))</f>
        <v>101.6862243754902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98.501133888453154</v>
      </c>
      <c r="P20" s="12">
        <f>IF(RZS_WS[[#This Row],[名前]]="","",(100+((VLOOKUP(RZS_WS[[#This Row],[No用]],Q_Stat[],20,FALSE)-Statistics100!I$23)*5)/Statistics100!I$30))</f>
        <v>95.278571748627428</v>
      </c>
      <c r="Q20" s="12">
        <f>IF(RZS_WS[[#This Row],[名前]]="","",(100+((VLOOKUP(RZS_WS[[#This Row],[No用]],Q_Stat[],21,FALSE)-Statistics100!J$23)*5)/Statistics100!J$30))</f>
        <v>95.740064735603696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98.208386601041653</v>
      </c>
      <c r="T20" s="12">
        <f>IF(RZS_WS[[#This Row],[名前]]="","",(100+((VLOOKUP(RZS_WS[[#This Row],[No用]],Q_Stat[],26,FALSE)-Statistics100!M$23)*5)/Statistics100!M$30))</f>
        <v>100.69178435917547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59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102.99773222309369</v>
      </c>
      <c r="J21" s="12">
        <f>IF(RZS_WS[[#This Row],[名前]]="","",(100+((VLOOKUP(RZS_WS[[#This Row],[No用]],Q_Stat[],14,FALSE)-Statistics100!C$23)*5)/Statistics100!C$30))</f>
        <v>102.24829916732027</v>
      </c>
      <c r="K21" s="12">
        <f>IF(RZS_WS[[#This Row],[名前]]="","",(100+((VLOOKUP(RZS_WS[[#This Row],[No用]],Q_Stat[],15,FALSE)-Statistics100!D$23)*5)/Statistics100!D$30))</f>
        <v>103.85422714397761</v>
      </c>
      <c r="L21" s="12">
        <f>IF(RZS_WS[[#This Row],[名前]]="","",(100+((VLOOKUP(RZS_WS[[#This Row],[No用]],Q_Stat[],16,FALSE)-Statistics100!E$23)*5)/Statistics100!E$30))</f>
        <v>105.39591800156866</v>
      </c>
      <c r="M21" s="12">
        <f>IF(RZS_WS[[#This Row],[名前]]="","",(100+((VLOOKUP(RZS_WS[[#This Row],[No用]],Q_Stat[],17,FALSE)-Statistics100!F$23)*5)/Statistics100!F$30))</f>
        <v>101.6862243754902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99.325510249803912</v>
      </c>
      <c r="Q21" s="12">
        <f>IF(RZS_WS[[#This Row],[名前]]="","",(100+((VLOOKUP(RZS_WS[[#This Row],[No用]],Q_Stat[],21,FALSE)-Statistics100!J$23)*5)/Statistics100!J$30))</f>
        <v>97.160043157069126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100.94850121121324</v>
      </c>
      <c r="T21" s="12">
        <f>IF(RZS_WS[[#This Row],[名前]]="","",(100+((VLOOKUP(RZS_WS[[#This Row],[No用]],Q_Stat[],26,FALSE)-Statistics100!M$23)*5)/Statistics100!M$30))</f>
        <v>102.76713743670187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103.85422714397761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61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100.99924407436457</v>
      </c>
      <c r="J22" s="12">
        <f>IF(RZS_WS[[#This Row],[名前]]="","",(100+((VLOOKUP(RZS_WS[[#This Row],[No用]],Q_Stat[],14,FALSE)-Statistics100!C$23)*5)/Statistics100!C$30))</f>
        <v>101.12414958366014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103.59727866771243</v>
      </c>
      <c r="M22" s="12">
        <f>IF(RZS_WS[[#This Row],[名前]]="","",(100+((VLOOKUP(RZS_WS[[#This Row],[No用]],Q_Stat[],17,FALSE)-Statistics100!F$23)*5)/Statistics100!F$30))</f>
        <v>101.6862243754902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101.49886611154685</v>
      </c>
      <c r="P22" s="12">
        <f>IF(RZS_WS[[#This Row],[名前]]="","",(100+((VLOOKUP(RZS_WS[[#This Row],[No用]],Q_Stat[],20,FALSE)-Statistics100!I$23)*5)/Statistics100!I$30))</f>
        <v>96.627551249019589</v>
      </c>
      <c r="Q22" s="12">
        <f>IF(RZS_WS[[#This Row],[名前]]="","",(100+((VLOOKUP(RZS_WS[[#This Row],[No用]],Q_Stat[],21,FALSE)-Statistics100!J$23)*5)/Statistics100!J$30))</f>
        <v>97.160043157069126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104.32094996219365</v>
      </c>
      <c r="T22" s="12">
        <f>IF(RZS_WS[[#This Row],[名前]]="","",(100+((VLOOKUP(RZS_WS[[#This Row],[No用]],Q_Stat[],26,FALSE)-Statistics100!M$23)*5)/Statistics100!M$30))</f>
        <v>101.38356871835094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62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97.002267776906308</v>
      </c>
      <c r="J23" s="12">
        <f>IF(RZS_WS[[#This Row],[名前]]="","",(100+((VLOOKUP(RZS_WS[[#This Row],[No用]],Q_Stat[],14,FALSE)-Statistics100!C$23)*5)/Statistics100!C$30))</f>
        <v>96.627551249019589</v>
      </c>
      <c r="K23" s="12">
        <f>IF(RZS_WS[[#This Row],[名前]]="","",(100+((VLOOKUP(RZS_WS[[#This Row],[No用]],Q_Stat[],15,FALSE)-Statistics100!D$23)*5)/Statistics100!D$30))</f>
        <v>84.583091424089559</v>
      </c>
      <c r="L23" s="12">
        <f>IF(RZS_WS[[#This Row],[名前]]="","",(100+((VLOOKUP(RZS_WS[[#This Row],[No用]],Q_Stat[],16,FALSE)-Statistics100!E$23)*5)/Statistics100!E$30))</f>
        <v>96.40272133228757</v>
      </c>
      <c r="M23" s="12">
        <f>IF(RZS_WS[[#This Row],[名前]]="","",(100+((VLOOKUP(RZS_WS[[#This Row],[No用]],Q_Stat[],17,FALSE)-Statistics100!F$23)*5)/Statistics100!F$30))</f>
        <v>98.313775624509802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95.503401665359448</v>
      </c>
      <c r="P23" s="12">
        <f>IF(RZS_WS[[#This Row],[名前]]="","",(100+((VLOOKUP(RZS_WS[[#This Row],[No用]],Q_Stat[],20,FALSE)-Statistics100!I$23)*5)/Statistics100!I$30))</f>
        <v>91.23163324745093</v>
      </c>
      <c r="Q23" s="12">
        <f>IF(RZS_WS[[#This Row],[名前]]="","",(100+((VLOOKUP(RZS_WS[[#This Row],[No用]],Q_Stat[],21,FALSE)-Statistics100!J$23)*5)/Statistics100!J$30))</f>
        <v>91.480129471207391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96.732940272487724</v>
      </c>
      <c r="T23" s="12">
        <f>IF(RZS_WS[[#This Row],[名前]]="","",(100+((VLOOKUP(RZS_WS[[#This Row],[No用]],Q_Stat[],26,FALSE)-Statistics100!M$23)*5)/Statistics100!M$30))</f>
        <v>97.232862563298127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84.583091424089559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66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100.99924407436457</v>
      </c>
      <c r="J24" s="12">
        <f>IF(RZS_WS[[#This Row],[名前]]="","",(100+((VLOOKUP(RZS_WS[[#This Row],[No用]],Q_Stat[],14,FALSE)-Statistics100!C$23)*5)/Statistics100!C$30))</f>
        <v>98.875850416339858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112.59047533699353</v>
      </c>
      <c r="M24" s="12">
        <f>IF(RZS_WS[[#This Row],[名前]]="","",(100+((VLOOKUP(RZS_WS[[#This Row],[No用]],Q_Stat[],17,FALSE)-Statistics100!F$23)*5)/Statistics100!F$30))</f>
        <v>101.6862243754902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98.501133888453154</v>
      </c>
      <c r="P24" s="12">
        <f>IF(RZS_WS[[#This Row],[名前]]="","",(100+((VLOOKUP(RZS_WS[[#This Row],[No用]],Q_Stat[],20,FALSE)-Statistics100!I$23)*5)/Statistics100!I$30))</f>
        <v>96.627551249019589</v>
      </c>
      <c r="Q24" s="12">
        <f>IF(RZS_WS[[#This Row],[名前]]="","",(100+((VLOOKUP(RZS_WS[[#This Row],[No用]],Q_Stat[],21,FALSE)-Statistics100!J$23)*5)/Statistics100!J$30))</f>
        <v>101.41997842146543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104.32094996219365</v>
      </c>
      <c r="T24" s="12">
        <f>IF(RZS_WS[[#This Row],[名前]]="","",(100+((VLOOKUP(RZS_WS[[#This Row],[No用]],Q_Stat[],26,FALSE)-Statistics100!M$23)*5)/Statistics100!M$30))</f>
        <v>101.38356871835094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67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103.99697629745826</v>
      </c>
      <c r="J25" s="12">
        <f>IF(RZS_WS[[#This Row],[名前]]="","",(100+((VLOOKUP(RZS_WS[[#This Row],[No用]],Q_Stat[],14,FALSE)-Statistics100!C$23)*5)/Statistics100!C$30))</f>
        <v>102.24829916732027</v>
      </c>
      <c r="K25" s="12">
        <f>IF(RZS_WS[[#This Row],[名前]]="","",(100+((VLOOKUP(RZS_WS[[#This Row],[No用]],Q_Stat[],15,FALSE)-Statistics100!D$23)*5)/Statistics100!D$30))</f>
        <v>103.85422714397761</v>
      </c>
      <c r="L25" s="12">
        <f>IF(RZS_WS[[#This Row],[名前]]="","",(100+((VLOOKUP(RZS_WS[[#This Row],[No用]],Q_Stat[],16,FALSE)-Statistics100!E$23)*5)/Statistics100!E$30))</f>
        <v>114.38911467084975</v>
      </c>
      <c r="M25" s="12">
        <f>IF(RZS_WS[[#This Row],[名前]]="","",(100+((VLOOKUP(RZS_WS[[#This Row],[No用]],Q_Stat[],17,FALSE)-Statistics100!F$23)*5)/Statistics100!F$30))</f>
        <v>101.6862243754902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100.67448975019609</v>
      </c>
      <c r="Q25" s="12">
        <f>IF(RZS_WS[[#This Row],[名前]]="","",(100+((VLOOKUP(RZS_WS[[#This Row],[No用]],Q_Stat[],21,FALSE)-Statistics100!J$23)*5)/Statistics100!J$30))</f>
        <v>102.83995684293087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107.27184261930151</v>
      </c>
      <c r="T25" s="12">
        <f>IF(RZS_WS[[#This Row],[名前]]="","",(100+((VLOOKUP(RZS_WS[[#This Row],[No用]],Q_Stat[],26,FALSE)-Statistics100!M$23)*5)/Statistics100!M$30))</f>
        <v>103.45892179587734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103.85422714397761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68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100.99924407436457</v>
      </c>
      <c r="J26" s="12">
        <f>IF(RZS_WS[[#This Row],[名前]]="","",(100+((VLOOKUP(RZS_WS[[#This Row],[No用]],Q_Stat[],14,FALSE)-Statistics100!C$23)*5)/Statistics100!C$30))</f>
        <v>98.875850416339858</v>
      </c>
      <c r="K26" s="12">
        <f>IF(RZS_WS[[#This Row],[名前]]="","",(100+((VLOOKUP(RZS_WS[[#This Row],[No用]],Q_Stat[],15,FALSE)-Statistics100!D$23)*5)/Statistics100!D$30))</f>
        <v>103.85422714397761</v>
      </c>
      <c r="L26" s="12">
        <f>IF(RZS_WS[[#This Row],[名前]]="","",(100+((VLOOKUP(RZS_WS[[#This Row],[No用]],Q_Stat[],16,FALSE)-Statistics100!E$23)*5)/Statistics100!E$30))</f>
        <v>110.79183600313731</v>
      </c>
      <c r="M26" s="12">
        <f>IF(RZS_WS[[#This Row],[名前]]="","",(100+((VLOOKUP(RZS_WS[[#This Row],[No用]],Q_Stat[],17,FALSE)-Statistics100!F$23)*5)/Statistics100!F$30))</f>
        <v>101.6862243754902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104.49659833464055</v>
      </c>
      <c r="P26" s="12">
        <f>IF(RZS_WS[[#This Row],[名前]]="","",(100+((VLOOKUP(RZS_WS[[#This Row],[No用]],Q_Stat[],20,FALSE)-Statistics100!I$23)*5)/Statistics100!I$30))</f>
        <v>100.67448975019609</v>
      </c>
      <c r="Q26" s="12">
        <f>IF(RZS_WS[[#This Row],[名前]]="","",(100+((VLOOKUP(RZS_WS[[#This Row],[No用]],Q_Stat[],21,FALSE)-Statistics100!J$23)*5)/Statistics100!J$30))</f>
        <v>105.67991368586175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107.27184261930151</v>
      </c>
      <c r="T26" s="12">
        <f>IF(RZS_WS[[#This Row],[名前]]="","",(100+((VLOOKUP(RZS_WS[[#This Row],[No用]],Q_Stat[],26,FALSE)-Statistics100!M$23)*5)/Statistics100!M$30))</f>
        <v>101.38356871835094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103.85422714397761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69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106.99470852055197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103.85422714397761</v>
      </c>
      <c r="L27" s="12">
        <f>IF(RZS_WS[[#This Row],[名前]]="","",(100+((VLOOKUP(RZS_WS[[#This Row],[No用]],Q_Stat[],16,FALSE)-Statistics100!E$23)*5)/Statistics100!E$30))</f>
        <v>110.79183600313731</v>
      </c>
      <c r="M27" s="12">
        <f>IF(RZS_WS[[#This Row],[名前]]="","",(100+((VLOOKUP(RZS_WS[[#This Row],[No用]],Q_Stat[],17,FALSE)-Statistics100!F$23)*5)/Statistics100!F$30))</f>
        <v>101.6862243754902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98.501133888453154</v>
      </c>
      <c r="P27" s="12">
        <f>IF(RZS_WS[[#This Row],[名前]]="","",(100+((VLOOKUP(RZS_WS[[#This Row],[No用]],Q_Stat[],20,FALSE)-Statistics100!I$23)*5)/Statistics100!I$30))</f>
        <v>103.37244875098041</v>
      </c>
      <c r="Q27" s="12">
        <f>IF(RZS_WS[[#This Row],[名前]]="","",(100+((VLOOKUP(RZS_WS[[#This Row],[No用]],Q_Stat[],21,FALSE)-Statistics100!J$23)*5)/Statistics100!J$30))</f>
        <v>101.41997842146543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108.11495480704662</v>
      </c>
      <c r="T27" s="12">
        <f>IF(RZS_WS[[#This Row],[名前]]="","",(100+((VLOOKUP(RZS_WS[[#This Row],[No用]],Q_Stat[],26,FALSE)-Statistics100!M$23)*5)/Statistics100!M$30))</f>
        <v>105.53427487340375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103.85422714397761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73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98.001511851270863</v>
      </c>
      <c r="J28" s="12">
        <f>IF(RZS_WS[[#This Row],[名前]]="","",(100+((VLOOKUP(RZS_WS[[#This Row],[No用]],Q_Stat[],14,FALSE)-Statistics100!C$23)*5)/Statistics100!C$30))</f>
        <v>96.627551249019589</v>
      </c>
      <c r="K28" s="12">
        <f>IF(RZS_WS[[#This Row],[名前]]="","",(100+((VLOOKUP(RZS_WS[[#This Row],[No用]],Q_Stat[],15,FALSE)-Statistics100!D$23)*5)/Statistics100!D$30))</f>
        <v>92.29154571204478</v>
      </c>
      <c r="L28" s="12">
        <f>IF(RZS_WS[[#This Row],[名前]]="","",(100+((VLOOKUP(RZS_WS[[#This Row],[No用]],Q_Stat[],16,FALSE)-Statistics100!E$23)*5)/Statistics100!E$30))</f>
        <v>98.201360666143785</v>
      </c>
      <c r="M28" s="12">
        <f>IF(RZS_WS[[#This Row],[名前]]="","",(100+((VLOOKUP(RZS_WS[[#This Row],[No用]],Q_Stat[],17,FALSE)-Statistics100!F$23)*5)/Statistics100!F$30))</f>
        <v>94.941326873529391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95.503401665359448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101.41997842146543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96.522162225551455</v>
      </c>
      <c r="T28" s="12">
        <f>IF(RZS_WS[[#This Row],[名前]]="","",(100+((VLOOKUP(RZS_WS[[#This Row],[No用]],Q_Stat[],26,FALSE)-Statistics100!M$23)*5)/Statistics100!M$30))</f>
        <v>96.541078204122655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92.29154571204478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74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99.000755925635431</v>
      </c>
      <c r="J29" s="12">
        <f>IF(RZS_WS[[#This Row],[名前]]="","",(100+((VLOOKUP(RZS_WS[[#This Row],[No用]],Q_Stat[],14,FALSE)-Statistics100!C$23)*5)/Statistics100!C$30))</f>
        <v>97.751700832679731</v>
      </c>
      <c r="K29" s="12">
        <f>IF(RZS_WS[[#This Row],[名前]]="","",(100+((VLOOKUP(RZS_WS[[#This Row],[No用]],Q_Stat[],15,FALSE)-Statistics100!D$23)*5)/Statistics100!D$30))</f>
        <v>96.14577285602239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94.941326873529391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97.002267776906308</v>
      </c>
      <c r="P29" s="12">
        <f>IF(RZS_WS[[#This Row],[名前]]="","",(100+((VLOOKUP(RZS_WS[[#This Row],[No用]],Q_Stat[],20,FALSE)-Statistics100!I$23)*5)/Statistics100!I$30))</f>
        <v>97.976530749411751</v>
      </c>
      <c r="Q29" s="12">
        <f>IF(RZS_WS[[#This Row],[名前]]="","",(100+((VLOOKUP(RZS_WS[[#This Row],[No用]],Q_Stat[],21,FALSE)-Statistics100!J$23)*5)/Statistics100!J$30))</f>
        <v>102.83995684293087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99.051498788786759</v>
      </c>
      <c r="T29" s="12">
        <f>IF(RZS_WS[[#This Row],[名前]]="","",(100+((VLOOKUP(RZS_WS[[#This Row],[No用]],Q_Stat[],26,FALSE)-Statistics100!M$23)*5)/Statistics100!M$30))</f>
        <v>97.232862563298127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96.14577285602239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79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97.002267776906308</v>
      </c>
      <c r="J30" s="12">
        <f>IF(RZS_WS[[#This Row],[名前]]="","",(100+((VLOOKUP(RZS_WS[[#This Row],[No用]],Q_Stat[],14,FALSE)-Statistics100!C$23)*5)/Statistics100!C$30))</f>
        <v>96.627551249019589</v>
      </c>
      <c r="K30" s="12">
        <f>IF(RZS_WS[[#This Row],[名前]]="","",(100+((VLOOKUP(RZS_WS[[#This Row],[No用]],Q_Stat[],15,FALSE)-Statistics100!D$23)*5)/Statistics100!D$30))</f>
        <v>92.29154571204478</v>
      </c>
      <c r="L30" s="12">
        <f>IF(RZS_WS[[#This Row],[名前]]="","",(100+((VLOOKUP(RZS_WS[[#This Row],[No用]],Q_Stat[],16,FALSE)-Statistics100!E$23)*5)/Statistics100!E$30))</f>
        <v>98.201360666143785</v>
      </c>
      <c r="M30" s="12">
        <f>IF(RZS_WS[[#This Row],[名前]]="","",(100+((VLOOKUP(RZS_WS[[#This Row],[No用]],Q_Stat[],17,FALSE)-Statistics100!F$23)*5)/Statistics100!F$30))</f>
        <v>94.941326873529391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95.503401665359448</v>
      </c>
      <c r="P30" s="12">
        <f>IF(RZS_WS[[#This Row],[名前]]="","",(100+((VLOOKUP(RZS_WS[[#This Row],[No用]],Q_Stat[],20,FALSE)-Statistics100!I$23)*5)/Statistics100!I$30))</f>
        <v>96.627551249019589</v>
      </c>
      <c r="Q30" s="12">
        <f>IF(RZS_WS[[#This Row],[名前]]="","",(100+((VLOOKUP(RZS_WS[[#This Row],[No用]],Q_Stat[],21,FALSE)-Statistics100!J$23)*5)/Statistics100!J$30))</f>
        <v>101.41997842146543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96.943718319424008</v>
      </c>
      <c r="T30" s="12">
        <f>IF(RZS_WS[[#This Row],[名前]]="","",(100+((VLOOKUP(RZS_WS[[#This Row],[No用]],Q_Stat[],26,FALSE)-Statistics100!M$23)*5)/Statistics100!M$30))</f>
        <v>95.849293844947184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92.29154571204478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85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101.99848814872914</v>
      </c>
      <c r="J31" s="12">
        <f>IF(RZS_WS[[#This Row],[名前]]="","",(100+((VLOOKUP(RZS_WS[[#This Row],[No用]],Q_Stat[],14,FALSE)-Statistics100!C$23)*5)/Statistics100!C$30))</f>
        <v>101.12414958366014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103.59727866771243</v>
      </c>
      <c r="M31" s="12">
        <f>IF(RZS_WS[[#This Row],[名前]]="","",(100+((VLOOKUP(RZS_WS[[#This Row],[No用]],Q_Stat[],17,FALSE)-Statistics100!F$23)*5)/Statistics100!F$30))</f>
        <v>101.6862243754902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97.002267776906308</v>
      </c>
      <c r="P31" s="12">
        <f>IF(RZS_WS[[#This Row],[名前]]="","",(100+((VLOOKUP(RZS_WS[[#This Row],[No用]],Q_Stat[],20,FALSE)-Statistics100!I$23)*5)/Statistics100!I$30))</f>
        <v>96.627551249019589</v>
      </c>
      <c r="Q31" s="12">
        <f>IF(RZS_WS[[#This Row],[名前]]="","",(100+((VLOOKUP(RZS_WS[[#This Row],[No用]],Q_Stat[],21,FALSE)-Statistics100!J$23)*5)/Statistics100!J$30))</f>
        <v>97.160043157069126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100.94850121121324</v>
      </c>
      <c r="T31" s="12">
        <f>IF(RZS_WS[[#This Row],[名前]]="","",(100+((VLOOKUP(RZS_WS[[#This Row],[No用]],Q_Stat[],26,FALSE)-Statistics100!M$23)*5)/Statistics100!M$30))</f>
        <v>102.0753530775264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86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104.99622037182283</v>
      </c>
      <c r="J32" s="12">
        <f>IF(RZS_WS[[#This Row],[名前]]="","",(100+((VLOOKUP(RZS_WS[[#This Row],[No用]],Q_Stat[],14,FALSE)-Statistics100!C$23)*5)/Statistics100!C$30))</f>
        <v>104.49659833464055</v>
      </c>
      <c r="K32" s="12">
        <f>IF(RZS_WS[[#This Row],[名前]]="","",(100+((VLOOKUP(RZS_WS[[#This Row],[No用]],Q_Stat[],15,FALSE)-Statistics100!D$23)*5)/Statistics100!D$30))</f>
        <v>103.85422714397761</v>
      </c>
      <c r="L32" s="12">
        <f>IF(RZS_WS[[#This Row],[名前]]="","",(100+((VLOOKUP(RZS_WS[[#This Row],[No用]],Q_Stat[],16,FALSE)-Statistics100!E$23)*5)/Statistics100!E$30))</f>
        <v>105.39591800156866</v>
      </c>
      <c r="M32" s="12">
        <f>IF(RZS_WS[[#This Row],[名前]]="","",(100+((VLOOKUP(RZS_WS[[#This Row],[No用]],Q_Stat[],17,FALSE)-Statistics100!F$23)*5)/Statistics100!F$30))</f>
        <v>101.6862243754902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98.501133888453154</v>
      </c>
      <c r="P32" s="12">
        <f>IF(RZS_WS[[#This Row],[名前]]="","",(100+((VLOOKUP(RZS_WS[[#This Row],[No用]],Q_Stat[],20,FALSE)-Statistics100!I$23)*5)/Statistics100!I$30))</f>
        <v>100.67448975019609</v>
      </c>
      <c r="Q32" s="12">
        <f>IF(RZS_WS[[#This Row],[名前]]="","",(100+((VLOOKUP(RZS_WS[[#This Row],[No用]],Q_Stat[],21,FALSE)-Statistics100!J$23)*5)/Statistics100!J$30))</f>
        <v>98.58002157853457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103.8993938683211</v>
      </c>
      <c r="T32" s="12">
        <f>IF(RZS_WS[[#This Row],[名前]]="","",(100+((VLOOKUP(RZS_WS[[#This Row],[No用]],Q_Stat[],26,FALSE)-Statistics100!M$23)*5)/Statistics100!M$30))</f>
        <v>104.15070615505282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103.85422714397761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87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103.99697629745826</v>
      </c>
      <c r="J33" s="12">
        <f>IF(RZS_WS[[#This Row],[名前]]="","",(100+((VLOOKUP(RZS_WS[[#This Row],[No用]],Q_Stat[],14,FALSE)-Statistics100!C$23)*5)/Statistics100!C$30))</f>
        <v>106.74489750196082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108.99319666928109</v>
      </c>
      <c r="M33" s="12">
        <f>IF(RZS_WS[[#This Row],[名前]]="","",(100+((VLOOKUP(RZS_WS[[#This Row],[No用]],Q_Stat[],17,FALSE)-Statistics100!F$23)*5)/Statistics100!F$30))</f>
        <v>101.6862243754902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97.976530749411751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103.8993938683211</v>
      </c>
      <c r="T33" s="12">
        <f>IF(RZS_WS[[#This Row],[名前]]="","",(100+((VLOOKUP(RZS_WS[[#This Row],[No用]],Q_Stat[],26,FALSE)-Statistics100!M$23)*5)/Statistics100!M$30))</f>
        <v>103.45892179587734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88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103.99697629745826</v>
      </c>
      <c r="J34" s="12">
        <f>IF(RZS_WS[[#This Row],[名前]]="","",(100+((VLOOKUP(RZS_WS[[#This Row],[No用]],Q_Stat[],14,FALSE)-Statistics100!C$23)*5)/Statistics100!C$30))</f>
        <v>102.24829916732027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103.59727866771243</v>
      </c>
      <c r="M34" s="12">
        <f>IF(RZS_WS[[#This Row],[名前]]="","",(100+((VLOOKUP(RZS_WS[[#This Row],[No用]],Q_Stat[],17,FALSE)-Statistics100!F$23)*5)/Statistics100!F$30))</f>
        <v>101.6862243754902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101.49886611154685</v>
      </c>
      <c r="P34" s="12">
        <f>IF(RZS_WS[[#This Row],[名前]]="","",(100+((VLOOKUP(RZS_WS[[#This Row],[No用]],Q_Stat[],20,FALSE)-Statistics100!I$23)*5)/Statistics100!I$30))</f>
        <v>102.02346925058825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104.11017191525737</v>
      </c>
      <c r="T34" s="12">
        <f>IF(RZS_WS[[#This Row],[名前]]="","",(100+((VLOOKUP(RZS_WS[[#This Row],[No用]],Q_Stat[],26,FALSE)-Statistics100!M$23)*5)/Statistics100!M$30))</f>
        <v>103.45892179587734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91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104.99622037182283</v>
      </c>
      <c r="J35" s="12">
        <f>IF(RZS_WS[[#This Row],[名前]]="","",(100+((VLOOKUP(RZS_WS[[#This Row],[No用]],Q_Stat[],14,FALSE)-Statistics100!C$23)*5)/Statistics100!C$30))</f>
        <v>105.62074791830068</v>
      </c>
      <c r="K35" s="12">
        <f>IF(RZS_WS[[#This Row],[名前]]="","",(100+((VLOOKUP(RZS_WS[[#This Row],[No用]],Q_Stat[],15,FALSE)-Statistics100!D$23)*5)/Statistics100!D$30))</f>
        <v>92.29154571204478</v>
      </c>
      <c r="L35" s="12">
        <f>IF(RZS_WS[[#This Row],[名前]]="","",(100+((VLOOKUP(RZS_WS[[#This Row],[No用]],Q_Stat[],16,FALSE)-Statistics100!E$23)*5)/Statistics100!E$30))</f>
        <v>98.201360666143785</v>
      </c>
      <c r="M35" s="12">
        <f>IF(RZS_WS[[#This Row],[名前]]="","",(100+((VLOOKUP(RZS_WS[[#This Row],[No用]],Q_Stat[],17,FALSE)-Statistics100!F$23)*5)/Statistics100!F$30))</f>
        <v>94.941326873529391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89.507937219172064</v>
      </c>
      <c r="P35" s="12">
        <f>IF(RZS_WS[[#This Row],[名前]]="","",(100+((VLOOKUP(RZS_WS[[#This Row],[No用]],Q_Stat[],20,FALSE)-Statistics100!I$23)*5)/Statistics100!I$30))</f>
        <v>96.627551249019589</v>
      </c>
      <c r="Q35" s="12">
        <f>IF(RZS_WS[[#This Row],[名前]]="","",(100+((VLOOKUP(RZS_WS[[#This Row],[No用]],Q_Stat[],21,FALSE)-Statistics100!J$23)*5)/Statistics100!J$30))</f>
        <v>104.2599352643963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97.997608554105383</v>
      </c>
      <c r="T35" s="12">
        <f>IF(RZS_WS[[#This Row],[名前]]="","",(100+((VLOOKUP(RZS_WS[[#This Row],[No用]],Q_Stat[],26,FALSE)-Statistics100!M$23)*5)/Statistics100!M$30))</f>
        <v>101.38356871835094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92.29154571204478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Row],[No用]],Q_Stat[],13,FALSE)-Statistics100!B$23)*5)/Statistics100!B$30))</f>
        <v>96.003023702541739</v>
      </c>
      <c r="J36" s="12">
        <f>IF(RZS_WS[[#This Row],[名前]]="","",(100+((VLOOKUP(RZS_WS[[#This Row],[No用]],Q_Stat[],14,FALSE)-Statistics100!C$23)*5)/Statistics100!C$30))</f>
        <v>94.37925208169932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98.201360666143785</v>
      </c>
      <c r="M36" s="12">
        <f>IF(RZS_WS[[#This Row],[名前]]="","",(100+((VLOOKUP(RZS_WS[[#This Row],[No用]],Q_Stat[],17,FALSE)-Statistics100!F$23)*5)/Statistics100!F$30))</f>
        <v>94.941326873529391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98.501133888453154</v>
      </c>
      <c r="P36" s="12">
        <f>IF(RZS_WS[[#This Row],[名前]]="","",(100+((VLOOKUP(RZS_WS[[#This Row],[No用]],Q_Stat[],20,FALSE)-Statistics100!I$23)*5)/Statistics100!I$30))</f>
        <v>96.627551249019589</v>
      </c>
      <c r="Q36" s="12">
        <f>IF(RZS_WS[[#This Row],[名前]]="","",(100+((VLOOKUP(RZS_WS[[#This Row],[No用]],Q_Stat[],21,FALSE)-Statistics100!J$23)*5)/Statistics100!J$30))</f>
        <v>97.160043157069126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95.468271990870079</v>
      </c>
      <c r="T36" s="12">
        <f>IF(RZS_WS[[#This Row],[名前]]="","",(100+((VLOOKUP(RZS_WS[[#This Row],[No用]],Q_Stat[],26,FALSE)-Statistics100!M$23)*5)/Statistics100!M$30))</f>
        <v>95.157509485771726</v>
      </c>
      <c r="U36" s="12">
        <f>IF(RZS_WS[[#This Row],[名前]]="","",(100+((VLOOKUP(RZS_WS[[#This Row],[No用]],Q_Stat[],27,FALSE)-Statistics100!N$23)*5)/Statistics100!N$30))</f>
        <v>94.941326873529391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97.109329642016789</v>
      </c>
      <c r="X36" s="12">
        <f>IF(RZS_WS[[#This Row],[名前]]="","",(100+((VLOOKUP(RZS_WS[[#This Row],[No用]],Q_Stat[],30,FALSE)-Statistics100!Q$23)*5)/Statistics100!Q$30))</f>
        <v>93.255102498039179</v>
      </c>
    </row>
    <row r="37" spans="1:24" x14ac:dyDescent="0.35">
      <c r="A37" t="str">
        <f>IFERROR(Q_WS[[#This Row],[No.]],"")</f>
        <v>93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Row],[No用]],Q_Stat[],13,FALSE)-Statistics100!B$23)*5)/Statistics100!B$30))</f>
        <v>99.000755925635431</v>
      </c>
      <c r="J37" s="12">
        <f>IF(RZS_WS[[#This Row],[名前]]="","",(100+((VLOOKUP(RZS_WS[[#This Row],[No用]],Q_Stat[],14,FALSE)-Statistics100!C$23)*5)/Statistics100!C$30))</f>
        <v>97.751700832679731</v>
      </c>
      <c r="K37" s="12">
        <f>IF(RZS_WS[[#This Row],[名前]]="","",(100+((VLOOKUP(RZS_WS[[#This Row],[No用]],Q_Stat[],15,FALSE)-Statistics100!D$23)*5)/Statistics100!D$30))</f>
        <v>103.85422714397761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94.941326873529391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100.67448975019609</v>
      </c>
      <c r="Q37" s="12">
        <f>IF(RZS_WS[[#This Row],[名前]]="","",(100+((VLOOKUP(RZS_WS[[#This Row],[No用]],Q_Stat[],21,FALSE)-Statistics100!J$23)*5)/Statistics100!J$30))</f>
        <v>98.58002157853457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98.419164647977937</v>
      </c>
      <c r="T37" s="12">
        <f>IF(RZS_WS[[#This Row],[名前]]="","",(100+((VLOOKUP(RZS_WS[[#This Row],[No用]],Q_Stat[],26,FALSE)-Statistics100!M$23)*5)/Statistics100!M$30))</f>
        <v>97.232862563298127</v>
      </c>
      <c r="U37" s="12">
        <f>IF(RZS_WS[[#This Row],[名前]]="","",(100+((VLOOKUP(RZS_WS[[#This Row],[No用]],Q_Stat[],27,FALSE)-Statistics100!N$23)*5)/Statistics100!N$30))</f>
        <v>97.18962604084966</v>
      </c>
      <c r="V37" s="12">
        <f>IF(RZS_WS[[#This Row],[名前]]="","",(100+((VLOOKUP(RZS_WS[[#This Row],[No用]],Q_Stat[],28,FALSE)-Statistics100!O$23)*5)/Statistics100!O$30))</f>
        <v>103.85422714397761</v>
      </c>
      <c r="W37" s="12">
        <f>IF(RZS_WS[[#This Row],[名前]]="","",(100+((VLOOKUP(RZS_WS[[#This Row],[No用]],Q_Stat[],29,FALSE)-Statistics100!P$23)*5)/Statistics100!P$30))</f>
        <v>99.036443214005601</v>
      </c>
      <c r="X37" s="12">
        <f>IF(RZS_WS[[#This Row],[名前]]="","",(100+((VLOOKUP(RZS_WS[[#This Row],[No用]],Q_Stat[],30,FALSE)-Statistics100!Q$23)*5)/Statistics100!Q$30))</f>
        <v>97.751700832679731</v>
      </c>
    </row>
    <row r="38" spans="1:24" x14ac:dyDescent="0.35">
      <c r="A38" t="str">
        <f>IFERROR(Q_WS[[#This Row],[No.]],"")</f>
        <v>94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Row],[No用]],Q_Stat[],13,FALSE)-Statistics100!B$23)*5)/Statistics100!B$30))</f>
        <v>98.001511851270863</v>
      </c>
      <c r="J38" s="12">
        <f>IF(RZS_WS[[#This Row],[名前]]="","",(100+((VLOOKUP(RZS_WS[[#This Row],[No用]],Q_Stat[],14,FALSE)-Statistics100!C$23)*5)/Statistics100!C$30))</f>
        <v>95.503401665359448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98.201360666143785</v>
      </c>
      <c r="M38" s="12">
        <f>IF(RZS_WS[[#This Row],[名前]]="","",(100+((VLOOKUP(RZS_WS[[#This Row],[No用]],Q_Stat[],17,FALSE)-Statistics100!F$23)*5)/Statistics100!F$30))</f>
        <v>94.941326873529391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102.99773222309369</v>
      </c>
      <c r="P38" s="12">
        <f>IF(RZS_WS[[#This Row],[名前]]="","",(100+((VLOOKUP(RZS_WS[[#This Row],[No用]],Q_Stat[],20,FALSE)-Statistics100!I$23)*5)/Statistics100!I$30))</f>
        <v>102.02346925058825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98.84072074185049</v>
      </c>
      <c r="T38" s="12">
        <f>IF(RZS_WS[[#This Row],[名前]]="","",(100+((VLOOKUP(RZS_WS[[#This Row],[No用]],Q_Stat[],26,FALSE)-Statistics100!M$23)*5)/Statistics100!M$30))</f>
        <v>96.541078204122655</v>
      </c>
      <c r="U38" s="12">
        <f>IF(RZS_WS[[#This Row],[名前]]="","",(100+((VLOOKUP(RZS_WS[[#This Row],[No用]],Q_Stat[],27,FALSE)-Statistics100!N$23)*5)/Statistics100!N$30))</f>
        <v>95.503401665359448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101.92711357198881</v>
      </c>
      <c r="X38" s="12">
        <f>IF(RZS_WS[[#This Row],[名前]]="","",(100+((VLOOKUP(RZS_WS[[#This Row],[No用]],Q_Stat[],30,FALSE)-Statistics100!Q$23)*5)/Statistics100!Q$30))</f>
        <v>102.24829916732027</v>
      </c>
    </row>
    <row r="39" spans="1:24" x14ac:dyDescent="0.35">
      <c r="A39" t="str">
        <f>IFERROR(Q_WS[[#This Row],[No.]],"")</f>
        <v>98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Row],[No用]],Q_Stat[],13,FALSE)-Statistics100!B$23)*5)/Statistics100!B$30))</f>
        <v>95.00377962817717</v>
      </c>
      <c r="J39" s="12">
        <f>IF(RZS_WS[[#This Row],[名前]]="","",(100+((VLOOKUP(RZS_WS[[#This Row],[No用]],Q_Stat[],14,FALSE)-Statistics100!C$23)*5)/Statistics100!C$30))</f>
        <v>95.503401665359448</v>
      </c>
      <c r="K39" s="12">
        <f>IF(RZS_WS[[#This Row],[名前]]="","",(100+((VLOOKUP(RZS_WS[[#This Row],[No用]],Q_Stat[],15,FALSE)-Statistics100!D$23)*5)/Statistics100!D$30))</f>
        <v>107.70845428795522</v>
      </c>
      <c r="L39" s="12">
        <f>IF(RZS_WS[[#This Row],[名前]]="","",(100+((VLOOKUP(RZS_WS[[#This Row],[No用]],Q_Stat[],16,FALSE)-Statistics100!E$23)*5)/Statistics100!E$30))</f>
        <v>98.201360666143785</v>
      </c>
      <c r="M39" s="12">
        <f>IF(RZS_WS[[#This Row],[名前]]="","",(100+((VLOOKUP(RZS_WS[[#This Row],[No用]],Q_Stat[],17,FALSE)-Statistics100!F$23)*5)/Statistics100!F$30))</f>
        <v>94.941326873529391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98.501133888453154</v>
      </c>
      <c r="P39" s="12">
        <f>IF(RZS_WS[[#This Row],[名前]]="","",(100+((VLOOKUP(RZS_WS[[#This Row],[No用]],Q_Stat[],20,FALSE)-Statistics100!I$23)*5)/Statistics100!I$30))</f>
        <v>96.627551249019589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96.943718319424008</v>
      </c>
      <c r="T39" s="12">
        <f>IF(RZS_WS[[#This Row],[名前]]="","",(100+((VLOOKUP(RZS_WS[[#This Row],[No用]],Q_Stat[],26,FALSE)-Statistics100!M$23)*5)/Statistics100!M$30))</f>
        <v>94.465725126596254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107.70845428795522</v>
      </c>
      <c r="W39" s="12">
        <f>IF(RZS_WS[[#This Row],[名前]]="","",(100+((VLOOKUP(RZS_WS[[#This Row],[No用]],Q_Stat[],29,FALSE)-Statistics100!P$23)*5)/Statistics100!P$30))</f>
        <v>99.036443214005601</v>
      </c>
      <c r="X39" s="12">
        <f>IF(RZS_WS[[#This Row],[名前]]="","",(100+((VLOOKUP(RZS_WS[[#This Row],[No用]],Q_Stat[],30,FALSE)-Statistics100!Q$23)*5)/Statistics100!Q$30))</f>
        <v>96.627551249019589</v>
      </c>
    </row>
    <row r="40" spans="1:24" x14ac:dyDescent="0.35">
      <c r="A40" t="str">
        <f>IFERROR(Q_WS[[#This Row],[No.]],"")</f>
        <v>99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Row],[No用]],Q_Stat[],13,FALSE)-Statistics100!B$23)*5)/Statistics100!B$30))</f>
        <v>98.001511851270863</v>
      </c>
      <c r="J40" s="12">
        <f>IF(RZS_WS[[#This Row],[名前]]="","",(100+((VLOOKUP(RZS_WS[[#This Row],[No用]],Q_Stat[],14,FALSE)-Statistics100!C$23)*5)/Statistics100!C$30))</f>
        <v>98.875850416339858</v>
      </c>
      <c r="K40" s="12">
        <f>IF(RZS_WS[[#This Row],[名前]]="","",(100+((VLOOKUP(RZS_WS[[#This Row],[No用]],Q_Stat[],15,FALSE)-Statistics100!D$23)*5)/Statistics100!D$30))</f>
        <v>111.56268143193283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94.941326873529391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100.67448975019609</v>
      </c>
      <c r="Q40" s="12">
        <f>IF(RZS_WS[[#This Row],[名前]]="","",(100+((VLOOKUP(RZS_WS[[#This Row],[No用]],Q_Stat[],21,FALSE)-Statistics100!J$23)*5)/Statistics100!J$30))</f>
        <v>101.41997842146543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99.894610976531865</v>
      </c>
      <c r="T40" s="12">
        <f>IF(RZS_WS[[#This Row],[名前]]="","",(100+((VLOOKUP(RZS_WS[[#This Row],[No用]],Q_Stat[],26,FALSE)-Statistics100!M$23)*5)/Statistics100!M$30))</f>
        <v>96.541078204122655</v>
      </c>
      <c r="U40" s="12">
        <f>IF(RZS_WS[[#This Row],[名前]]="","",(100+((VLOOKUP(RZS_WS[[#This Row],[No用]],Q_Stat[],27,FALSE)-Statistics100!N$23)*5)/Statistics100!N$30))</f>
        <v>97.751700832679731</v>
      </c>
      <c r="V40" s="12">
        <f>IF(RZS_WS[[#This Row],[名前]]="","",(100+((VLOOKUP(RZS_WS[[#This Row],[No用]],Q_Stat[],28,FALSE)-Statistics100!O$23)*5)/Statistics100!O$30))</f>
        <v>111.56268143193283</v>
      </c>
      <c r="W40" s="12">
        <f>IF(RZS_WS[[#This Row],[名前]]="","",(100+((VLOOKUP(RZS_WS[[#This Row],[No用]],Q_Stat[],29,FALSE)-Statistics100!P$23)*5)/Statistics100!P$30))</f>
        <v>100.9635567859944</v>
      </c>
      <c r="X40" s="12">
        <f>IF(RZS_WS[[#This Row],[名前]]="","",(100+((VLOOKUP(RZS_WS[[#This Row],[No用]],Q_Stat[],30,FALSE)-Statistics100!Q$23)*5)/Statistics100!Q$30))</f>
        <v>101.12414958366014</v>
      </c>
    </row>
    <row r="41" spans="1:24" x14ac:dyDescent="0.35">
      <c r="A41" t="str">
        <f>IFERROR(Q_WS[[#This Row],[No.]],"")</f>
        <v>100</v>
      </c>
      <c r="B41" t="str">
        <f>IFERROR(Q_WS[[#This Row],[服装]],"")</f>
        <v>バーガー</v>
      </c>
      <c r="C41" t="str">
        <f>IFERROR(Q_WS[[#This Row],[名前]],"")</f>
        <v>花巻貴大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バーガー花巻貴大ICONIC</v>
      </c>
      <c r="I41" s="12">
        <f>IF(RZS_WS[[#This Row],[名前]]="","",(100+((VLOOKUP(RZS_WS[[#This Row],[No用]],Q_Stat[],13,FALSE)-Statistics100!B$23)*5)/Statistics100!B$30))</f>
        <v>100.99924407436457</v>
      </c>
      <c r="J41" s="12">
        <f>IF(RZS_WS[[#This Row],[名前]]="","",(100+((VLOOKUP(RZS_WS[[#This Row],[No用]],Q_Stat[],14,FALSE)-Statistics100!C$23)*5)/Statistics100!C$30))</f>
        <v>96.627551249019589</v>
      </c>
      <c r="K41" s="12">
        <f>IF(RZS_WS[[#This Row],[名前]]="","",(100+((VLOOKUP(RZS_WS[[#This Row],[No用]],Q_Stat[],15,FALSE)-Statistics100!D$23)*5)/Statistics100!D$30))</f>
        <v>119.27113571988805</v>
      </c>
      <c r="L41" s="12">
        <f>IF(RZS_WS[[#This Row],[名前]]="","",(100+((VLOOKUP(RZS_WS[[#This Row],[No用]],Q_Stat[],16,FALSE)-Statistics100!E$23)*5)/Statistics100!E$30))</f>
        <v>96.40272133228757</v>
      </c>
      <c r="M41" s="12">
        <f>IF(RZS_WS[[#This Row],[名前]]="","",(100+((VLOOKUP(RZS_WS[[#This Row],[No用]],Q_Stat[],17,FALSE)-Statistics100!F$23)*5)/Statistics100!F$30))</f>
        <v>94.941326873529391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98.58002157853457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100.10538902346813</v>
      </c>
      <c r="T41" s="12">
        <f>IF(RZS_WS[[#This Row],[名前]]="","",(100+((VLOOKUP(RZS_WS[[#This Row],[No用]],Q_Stat[],26,FALSE)-Statistics100!M$23)*5)/Statistics100!M$30))</f>
        <v>98.616431281649056</v>
      </c>
      <c r="U41" s="12">
        <f>IF(RZS_WS[[#This Row],[名前]]="","",(100+((VLOOKUP(RZS_WS[[#This Row],[No用]],Q_Stat[],27,FALSE)-Statistics100!N$23)*5)/Statistics100!N$30))</f>
        <v>95.503401665359448</v>
      </c>
      <c r="V41" s="12">
        <f>IF(RZS_WS[[#This Row],[名前]]="","",(100+((VLOOKUP(RZS_WS[[#This Row],[No用]],Q_Stat[],28,FALSE)-Statistics100!O$23)*5)/Statistics100!O$30))</f>
        <v>119.27113571988805</v>
      </c>
      <c r="W41" s="12">
        <f>IF(RZS_WS[[#This Row],[名前]]="","",(100+((VLOOKUP(RZS_WS[[#This Row],[No用]],Q_Stat[],29,FALSE)-Statistics100!P$23)*5)/Statistics100!P$30))</f>
        <v>99.036443214005601</v>
      </c>
      <c r="X41" s="12">
        <f>IF(RZS_WS[[#This Row],[名前]]="","",(100+((VLOOKUP(RZS_WS[[#This Row],[No用]],Q_Stat[],30,FALSE)-Statistics100!Q$23)*5)/Statistics100!Q$30))</f>
        <v>103.37244875098041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ユニフォーム</v>
      </c>
      <c r="C42" t="str">
        <f>IFERROR(Q_WS[[#This Row],[名前]],"")</f>
        <v>駒木輝</v>
      </c>
      <c r="D42" t="str">
        <f>IFERROR(Q_WS[[#This Row],[じゃんけん]],"")</f>
        <v>グー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ユニフォーム駒木輝ICONIC</v>
      </c>
      <c r="I42" s="12">
        <f>IF(RZS_WS[[#This Row],[名前]]="","",(100+((VLOOKUP(RZS_WS[[#This Row],[No用]],Q_Stat[],13,FALSE)-Statistics100!B$23)*5)/Statistics100!B$30))</f>
        <v>98.001511851270863</v>
      </c>
      <c r="J42" s="12">
        <f>IF(RZS_WS[[#This Row],[名前]]="","",(100+((VLOOKUP(RZS_WS[[#This Row],[No用]],Q_Stat[],14,FALSE)-Statistics100!C$23)*5)/Statistics100!C$30))</f>
        <v>94.37925208169932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96.40272133228757</v>
      </c>
      <c r="M42" s="12">
        <f>IF(RZS_WS[[#This Row],[名前]]="","",(100+((VLOOKUP(RZS_WS[[#This Row],[No用]],Q_Stat[],17,FALSE)-Statistics100!F$23)*5)/Statistics100!F$30))</f>
        <v>101.6862243754902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95.503401665359448</v>
      </c>
      <c r="P42" s="12">
        <f>IF(RZS_WS[[#This Row],[名前]]="","",(100+((VLOOKUP(RZS_WS[[#This Row],[No用]],Q_Stat[],20,FALSE)-Statistics100!I$23)*5)/Statistics100!I$30))</f>
        <v>96.627551249019589</v>
      </c>
      <c r="Q42" s="12">
        <f>IF(RZS_WS[[#This Row],[名前]]="","",(100+((VLOOKUP(RZS_WS[[#This Row],[No用]],Q_Stat[],21,FALSE)-Statistics100!J$23)*5)/Statistics100!J$30))</f>
        <v>98.58002157853457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98.84072074185049</v>
      </c>
      <c r="T42" s="12">
        <f>IF(RZS_WS[[#This Row],[名前]]="","",(100+((VLOOKUP(RZS_WS[[#This Row],[No用]],Q_Stat[],26,FALSE)-Statistics100!M$23)*5)/Statistics100!M$30))</f>
        <v>99.308215640824528</v>
      </c>
      <c r="U42" s="12">
        <f>IF(RZS_WS[[#This Row],[名前]]="","",(100+((VLOOKUP(RZS_WS[[#This Row],[No用]],Q_Stat[],27,FALSE)-Statistics100!N$23)*5)/Statistics100!N$30))</f>
        <v>96.627551249019589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96.14577285602239</v>
      </c>
      <c r="X42" s="12">
        <f>IF(RZS_WS[[#This Row],[名前]]="","",(100+((VLOOKUP(RZS_WS[[#This Row],[No用]],Q_Stat[],30,FALSE)-Statistics100!Q$23)*5)/Statistics100!Q$30))</f>
        <v>95.503401665359448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玉川弘樹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ユニフォーム玉川弘樹ICONIC</v>
      </c>
      <c r="I43" s="12">
        <f>IF(RZS_WS[[#This Row],[名前]]="","",(100+((VLOOKUP(RZS_WS[[#This Row],[No用]],Q_Stat[],13,FALSE)-Statistics100!B$23)*5)/Statistics100!B$30))</f>
        <v>94.004535553812602</v>
      </c>
      <c r="J43" s="12">
        <f>IF(RZS_WS[[#This Row],[名前]]="","",(100+((VLOOKUP(RZS_WS[[#This Row],[No用]],Q_Stat[],14,FALSE)-Statistics100!C$23)*5)/Statistics100!C$30))</f>
        <v>93.255102498039179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98.201360666143785</v>
      </c>
      <c r="M43" s="12">
        <f>IF(RZS_WS[[#This Row],[名前]]="","",(100+((VLOOKUP(RZS_WS[[#This Row],[No用]],Q_Stat[],17,FALSE)-Statistics100!F$23)*5)/Statistics100!F$30))</f>
        <v>94.941326873529391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98.501133888453154</v>
      </c>
      <c r="P43" s="12">
        <f>IF(RZS_WS[[#This Row],[名前]]="","",(100+((VLOOKUP(RZS_WS[[#This Row],[No用]],Q_Stat[],20,FALSE)-Statistics100!I$23)*5)/Statistics100!I$30))</f>
        <v>97.976530749411751</v>
      </c>
      <c r="Q43" s="12">
        <f>IF(RZS_WS[[#This Row],[名前]]="","",(100+((VLOOKUP(RZS_WS[[#This Row],[No用]],Q_Stat[],21,FALSE)-Statistics100!J$23)*5)/Statistics100!J$30))</f>
        <v>98.58002157853457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95.679050037806348</v>
      </c>
      <c r="T43" s="12">
        <f>IF(RZS_WS[[#This Row],[名前]]="","",(100+((VLOOKUP(RZS_WS[[#This Row],[No用]],Q_Stat[],26,FALSE)-Statistics100!M$23)*5)/Statistics100!M$30))</f>
        <v>93.773940767420783</v>
      </c>
      <c r="U43" s="12">
        <f>IF(RZS_WS[[#This Row],[名前]]="","",(100+((VLOOKUP(RZS_WS[[#This Row],[No用]],Q_Stat[],27,FALSE)-Statistics100!N$23)*5)/Statistics100!N$30))</f>
        <v>94.37925208169932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98.072886428011188</v>
      </c>
      <c r="X43" s="12">
        <f>IF(RZS_WS[[#This Row],[名前]]="","",(100+((VLOOKUP(RZS_WS[[#This Row],[No用]],Q_Stat[],30,FALSE)-Statistics100!Q$23)*5)/Statistics100!Q$30))</f>
        <v>96.627551249019589</v>
      </c>
    </row>
    <row r="44" spans="1:24" x14ac:dyDescent="0.35">
      <c r="A44" t="str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池尻隼人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ユニフォーム池尻隼人ICONIC</v>
      </c>
      <c r="I44" s="12">
        <f>IF(RZS_WS[[#This Row],[名前]]="","",(100+((VLOOKUP(RZS_WS[[#This Row],[No用]],Q_Stat[],13,FALSE)-Statistics100!B$23)*5)/Statistics100!B$30))</f>
        <v>94.004535553812602</v>
      </c>
      <c r="J44" s="12">
        <f>IF(RZS_WS[[#This Row],[名前]]="","",(100+((VLOOKUP(RZS_WS[[#This Row],[No用]],Q_Stat[],14,FALSE)-Statistics100!C$23)*5)/Statistics100!C$30))</f>
        <v>95.503401665359448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94.941326873529391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98.501133888453154</v>
      </c>
      <c r="P44" s="12">
        <f>IF(RZS_WS[[#This Row],[名前]]="","",(100+((VLOOKUP(RZS_WS[[#This Row],[No用]],Q_Stat[],20,FALSE)-Statistics100!I$23)*5)/Statistics100!I$30))</f>
        <v>97.976530749411751</v>
      </c>
      <c r="Q44" s="12">
        <f>IF(RZS_WS[[#This Row],[名前]]="","",(100+((VLOOKUP(RZS_WS[[#This Row],[No用]],Q_Stat[],21,FALSE)-Statistics100!J$23)*5)/Statistics100!J$30))</f>
        <v>97.160043157069126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96.100606131678902</v>
      </c>
      <c r="T44" s="12">
        <f>IF(RZS_WS[[#This Row],[名前]]="","",(100+((VLOOKUP(RZS_WS[[#This Row],[No用]],Q_Stat[],26,FALSE)-Statistics100!M$23)*5)/Statistics100!M$30))</f>
        <v>93.773940767420783</v>
      </c>
      <c r="U44" s="12">
        <f>IF(RZS_WS[[#This Row],[名前]]="","",(100+((VLOOKUP(RZS_WS[[#This Row],[No用]],Q_Stat[],27,FALSE)-Statistics100!N$23)*5)/Statistics100!N$30))</f>
        <v>96.065476457189519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97.109329642016789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十和田良樹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ユニフォーム十和田良樹ICONIC</v>
      </c>
      <c r="I45" s="12">
        <f>IF(RZS_WS[[#This Row],[名前]]="","",(100+((VLOOKUP(RZS_WS[[#This Row],[No用]],Q_Stat[],13,FALSE)-Statistics100!B$23)*5)/Statistics100!B$30))</f>
        <v>98.001511851270863</v>
      </c>
      <c r="J45" s="12">
        <f>IF(RZS_WS[[#This Row],[名前]]="","",(100+((VLOOKUP(RZS_WS[[#This Row],[No用]],Q_Stat[],14,FALSE)-Statistics100!C$23)*5)/Statistics100!C$30))</f>
        <v>95.503401665359448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101.79863933385622</v>
      </c>
      <c r="M45" s="12">
        <f>IF(RZS_WS[[#This Row],[名前]]="","",(100+((VLOOKUP(RZS_WS[[#This Row],[No用]],Q_Stat[],17,FALSE)-Statistics100!F$23)*5)/Statistics100!F$30))</f>
        <v>94.941326873529391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98.501133888453154</v>
      </c>
      <c r="P45" s="12">
        <f>IF(RZS_WS[[#This Row],[名前]]="","",(100+((VLOOKUP(RZS_WS[[#This Row],[No用]],Q_Stat[],20,FALSE)-Statistics100!I$23)*5)/Statistics100!I$30))</f>
        <v>97.976530749411751</v>
      </c>
      <c r="Q45" s="12">
        <f>IF(RZS_WS[[#This Row],[名前]]="","",(100+((VLOOKUP(RZS_WS[[#This Row],[No用]],Q_Stat[],21,FALSE)-Statistics100!J$23)*5)/Statistics100!J$30))</f>
        <v>97.160043157069126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99.262276835723029</v>
      </c>
      <c r="T45" s="12">
        <f>IF(RZS_WS[[#This Row],[名前]]="","",(100+((VLOOKUP(RZS_WS[[#This Row],[No用]],Q_Stat[],26,FALSE)-Statistics100!M$23)*5)/Statistics100!M$30))</f>
        <v>96.541078204122655</v>
      </c>
      <c r="U45" s="12">
        <f>IF(RZS_WS[[#This Row],[名前]]="","",(100+((VLOOKUP(RZS_WS[[#This Row],[No用]],Q_Stat[],27,FALSE)-Statistics100!N$23)*5)/Statistics100!N$30))</f>
        <v>96.627551249019589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唐松拓巳</v>
      </c>
      <c r="D46" t="str">
        <f>IFERROR(Q_WS[[#This Row],[じゃんけん]],"")</f>
        <v>パー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ユニフォーム唐松拓巳ICONIC</v>
      </c>
      <c r="I46" s="12">
        <f>IF(RZS_WS[[#This Row],[名前]]="","",(100+((VLOOKUP(RZS_WS[[#This Row],[No用]],Q_Stat[],13,FALSE)-Statistics100!B$23)*5)/Statistics100!B$30))</f>
        <v>98.001511851270863</v>
      </c>
      <c r="J46" s="12">
        <f>IF(RZS_WS[[#This Row],[名前]]="","",(100+((VLOOKUP(RZS_WS[[#This Row],[No用]],Q_Stat[],14,FALSE)-Statistics100!C$23)*5)/Statistics100!C$30))</f>
        <v>96.627551249019589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101.79863933385622</v>
      </c>
      <c r="M46" s="12">
        <f>IF(RZS_WS[[#This Row],[名前]]="","",(100+((VLOOKUP(RZS_WS[[#This Row],[No用]],Q_Stat[],17,FALSE)-Statistics100!F$23)*5)/Statistics100!F$30))</f>
        <v>94.941326873529391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97.976530749411751</v>
      </c>
      <c r="Q46" s="12">
        <f>IF(RZS_WS[[#This Row],[名前]]="","",(100+((VLOOKUP(RZS_WS[[#This Row],[No用]],Q_Stat[],21,FALSE)-Statistics100!J$23)*5)/Statistics100!J$30))</f>
        <v>98.58002157853457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97.997608554105383</v>
      </c>
      <c r="T46" s="12">
        <f>IF(RZS_WS[[#This Row],[名前]]="","",(100+((VLOOKUP(RZS_WS[[#This Row],[No用]],Q_Stat[],26,FALSE)-Statistics100!M$23)*5)/Statistics100!M$30))</f>
        <v>96.541078204122655</v>
      </c>
      <c r="U46" s="12">
        <f>IF(RZS_WS[[#This Row],[名前]]="","",(100+((VLOOKUP(RZS_WS[[#This Row],[No用]],Q_Stat[],27,FALSE)-Statistics100!N$23)*5)/Statistics100!N$30))</f>
        <v>97.18962604084966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99.036443214005601</v>
      </c>
      <c r="X46" s="12">
        <f>IF(RZS_WS[[#This Row],[名前]]="","",(100+((VLOOKUP(RZS_WS[[#This Row],[No用]],Q_Stat[],30,FALSE)-Statistics100!Q$23)*5)/Statistics100!Q$30))</f>
        <v>97.751700832679731</v>
      </c>
    </row>
    <row r="47" spans="1:24" x14ac:dyDescent="0.35">
      <c r="A47" t="str">
        <f>IFERROR(Q_WS[[#This Row],[No.]],"")</f>
        <v>112</v>
      </c>
      <c r="B47" t="str">
        <f>IFERROR(Q_WS[[#This Row],[服装]],"")</f>
        <v>ユニフォーム</v>
      </c>
      <c r="C47" t="str">
        <f>IFERROR(Q_WS[[#This Row],[名前]],"")</f>
        <v>田沢裕樹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ユニフォーム田沢裕樹ICONIC</v>
      </c>
      <c r="I47" s="12">
        <f>IF(RZS_WS[[#This Row],[名前]]="","",(100+((VLOOKUP(RZS_WS[[#This Row],[No用]],Q_Stat[],13,FALSE)-Statistics100!B$23)*5)/Statistics100!B$30))</f>
        <v>95.00377962817717</v>
      </c>
      <c r="J47" s="12">
        <f>IF(RZS_WS[[#This Row],[名前]]="","",(100+((VLOOKUP(RZS_WS[[#This Row],[No用]],Q_Stat[],14,FALSE)-Statistics100!C$23)*5)/Statistics100!C$30))</f>
        <v>95.503401665359448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98.201360666143785</v>
      </c>
      <c r="M47" s="12">
        <f>IF(RZS_WS[[#This Row],[名前]]="","",(100+((VLOOKUP(RZS_WS[[#This Row],[No用]],Q_Stat[],17,FALSE)-Statistics100!F$23)*5)/Statistics100!F$30))</f>
        <v>94.941326873529391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98.501133888453154</v>
      </c>
      <c r="P47" s="12">
        <f>IF(RZS_WS[[#This Row],[名前]]="","",(100+((VLOOKUP(RZS_WS[[#This Row],[No用]],Q_Stat[],20,FALSE)-Statistics100!I$23)*5)/Statistics100!I$30))</f>
        <v>97.976530749411751</v>
      </c>
      <c r="Q47" s="12">
        <f>IF(RZS_WS[[#This Row],[名前]]="","",(100+((VLOOKUP(RZS_WS[[#This Row],[No用]],Q_Stat[],21,FALSE)-Statistics100!J$23)*5)/Statistics100!J$30))</f>
        <v>97.160043157069126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96.311384178615171</v>
      </c>
      <c r="T47" s="12">
        <f>IF(RZS_WS[[#This Row],[名前]]="","",(100+((VLOOKUP(RZS_WS[[#This Row],[No用]],Q_Stat[],26,FALSE)-Statistics100!M$23)*5)/Statistics100!M$30))</f>
        <v>94.465725126596254</v>
      </c>
      <c r="U47" s="12">
        <f>IF(RZS_WS[[#This Row],[名前]]="","",(100+((VLOOKUP(RZS_WS[[#This Row],[No用]],Q_Stat[],27,FALSE)-Statistics100!N$23)*5)/Statistics100!N$30))</f>
        <v>95.503401665359448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97.109329642016789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119</v>
      </c>
      <c r="B48" t="str">
        <f>IFERROR(Q_WS[[#This Row],[服装]],"")</f>
        <v>ユニフォーム</v>
      </c>
      <c r="C48" t="str">
        <f>IFERROR(Q_WS[[#This Row],[名前]],"")</f>
        <v>浅虫快人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ユニフォーム浅虫快人ICONIC</v>
      </c>
      <c r="I48" s="12">
        <f>IF(RZS_WS[[#This Row],[名前]]="","",(100+((VLOOKUP(RZS_WS[[#This Row],[No用]],Q_Stat[],13,FALSE)-Statistics100!B$23)*5)/Statistics100!B$30))</f>
        <v>95.00377962817717</v>
      </c>
      <c r="J48" s="12">
        <f>IF(RZS_WS[[#This Row],[名前]]="","",(100+((VLOOKUP(RZS_WS[[#This Row],[No用]],Q_Stat[],14,FALSE)-Statistics100!C$23)*5)/Statistics100!C$30))</f>
        <v>95.503401665359448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94.60408199843134</v>
      </c>
      <c r="M48" s="12">
        <f>IF(RZS_WS[[#This Row],[名前]]="","",(100+((VLOOKUP(RZS_WS[[#This Row],[No用]],Q_Stat[],17,FALSE)-Statistics100!F$23)*5)/Statistics100!F$30))</f>
        <v>94.941326873529391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97.002267776906308</v>
      </c>
      <c r="P48" s="12">
        <f>IF(RZS_WS[[#This Row],[名前]]="","",(100+((VLOOKUP(RZS_WS[[#This Row],[No用]],Q_Stat[],20,FALSE)-Statistics100!I$23)*5)/Statistics100!I$30))</f>
        <v>97.976530749411751</v>
      </c>
      <c r="Q48" s="12">
        <f>IF(RZS_WS[[#This Row],[名前]]="","",(100+((VLOOKUP(RZS_WS[[#This Row],[No用]],Q_Stat[],21,FALSE)-Statistics100!J$23)*5)/Statistics100!J$30))</f>
        <v>98.58002157853457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96.943718319424008</v>
      </c>
      <c r="T48" s="12">
        <f>IF(RZS_WS[[#This Row],[名前]]="","",(100+((VLOOKUP(RZS_WS[[#This Row],[No用]],Q_Stat[],26,FALSE)-Statistics100!M$23)*5)/Statistics100!M$30))</f>
        <v>94.465725126596254</v>
      </c>
      <c r="U48" s="12">
        <f>IF(RZS_WS[[#This Row],[名前]]="","",(100+((VLOOKUP(RZS_WS[[#This Row],[No用]],Q_Stat[],27,FALSE)-Statistics100!N$23)*5)/Statistics100!N$30))</f>
        <v>94.37925208169932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稲垣功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ユニフォーム稲垣功ICONIC</v>
      </c>
      <c r="I49" s="12">
        <f>IF(RZS_WS[[#This Row],[名前]]="","",(100+((VLOOKUP(RZS_WS[[#This Row],[No用]],Q_Stat[],13,FALSE)-Statistics100!B$23)*5)/Statistics100!B$30))</f>
        <v>97.002267776906308</v>
      </c>
      <c r="J49" s="12">
        <f>IF(RZS_WS[[#This Row],[名前]]="","",(100+((VLOOKUP(RZS_WS[[#This Row],[No用]],Q_Stat[],14,FALSE)-Statistics100!C$23)*5)/Statistics100!C$30))</f>
        <v>96.627551249019589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94.60408199843134</v>
      </c>
      <c r="M49" s="12">
        <f>IF(RZS_WS[[#This Row],[名前]]="","",(100+((VLOOKUP(RZS_WS[[#This Row],[No用]],Q_Stat[],17,FALSE)-Statistics100!F$23)*5)/Statistics100!F$30))</f>
        <v>94.941326873529391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95.503401665359448</v>
      </c>
      <c r="P49" s="12">
        <f>IF(RZS_WS[[#This Row],[名前]]="","",(100+((VLOOKUP(RZS_WS[[#This Row],[No用]],Q_Stat[],20,FALSE)-Statistics100!I$23)*5)/Statistics100!I$30))</f>
        <v>96.627551249019589</v>
      </c>
      <c r="Q49" s="12">
        <f>IF(RZS_WS[[#This Row],[名前]]="","",(100+((VLOOKUP(RZS_WS[[#This Row],[No用]],Q_Stat[],21,FALSE)-Statistics100!J$23)*5)/Statistics100!J$30))</f>
        <v>97.160043157069126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95.468271990870079</v>
      </c>
      <c r="T49" s="12">
        <f>IF(RZS_WS[[#This Row],[名前]]="","",(100+((VLOOKUP(RZS_WS[[#This Row],[No用]],Q_Stat[],26,FALSE)-Statistics100!M$23)*5)/Statistics100!M$30))</f>
        <v>95.849293844947184</v>
      </c>
      <c r="U49" s="12">
        <f>IF(RZS_WS[[#This Row],[名前]]="","",(100+((VLOOKUP(RZS_WS[[#This Row],[No用]],Q_Stat[],27,FALSE)-Statistics100!N$23)*5)/Statistics100!N$30))</f>
        <v>94.941326873529391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95.182216070027991</v>
      </c>
      <c r="X49" s="12">
        <f>IF(RZS_WS[[#This Row],[名前]]="","",(100+((VLOOKUP(RZS_WS[[#This Row],[No用]],Q_Stat[],30,FALSE)-Statistics100!Q$23)*5)/Statistics100!Q$30))</f>
        <v>94.37925208169932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百沢雄大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ユニフォーム百沢雄大ICONIC</v>
      </c>
      <c r="I50" s="12">
        <f>IF(RZS_WS[[#This Row],[名前]]="","",(100+((VLOOKUP(RZS_WS[[#This Row],[No用]],Q_Stat[],13,FALSE)-Statistics100!B$23)*5)/Statistics100!B$30))</f>
        <v>96.003023702541739</v>
      </c>
      <c r="J50" s="12">
        <f>IF(RZS_WS[[#This Row],[名前]]="","",(100+((VLOOKUP(RZS_WS[[#This Row],[No用]],Q_Stat[],14,FALSE)-Statistics100!C$23)*5)/Statistics100!C$30))</f>
        <v>97.751700832679731</v>
      </c>
      <c r="K50" s="12">
        <f>IF(RZS_WS[[#This Row],[名前]]="","",(100+((VLOOKUP(RZS_WS[[#This Row],[No用]],Q_Stat[],15,FALSE)-Statistics100!D$23)*5)/Statistics100!D$30))</f>
        <v>103.85422714397761</v>
      </c>
      <c r="L50" s="12">
        <f>IF(RZS_WS[[#This Row],[名前]]="","",(100+((VLOOKUP(RZS_WS[[#This Row],[No用]],Q_Stat[],16,FALSE)-Statistics100!E$23)*5)/Statistics100!E$30))</f>
        <v>94.60408199843134</v>
      </c>
      <c r="M50" s="12">
        <f>IF(RZS_WS[[#This Row],[名前]]="","",(100+((VLOOKUP(RZS_WS[[#This Row],[No用]],Q_Stat[],17,FALSE)-Statistics100!F$23)*5)/Statistics100!F$30))</f>
        <v>94.941326873529391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97.002267776906308</v>
      </c>
      <c r="P50" s="12">
        <f>IF(RZS_WS[[#This Row],[名前]]="","",(100+((VLOOKUP(RZS_WS[[#This Row],[No用]],Q_Stat[],20,FALSE)-Statistics100!I$23)*5)/Statistics100!I$30))</f>
        <v>96.627551249019589</v>
      </c>
      <c r="Q50" s="12">
        <f>IF(RZS_WS[[#This Row],[名前]]="","",(100+((VLOOKUP(RZS_WS[[#This Row],[No用]],Q_Stat[],21,FALSE)-Statistics100!J$23)*5)/Statistics100!J$30))</f>
        <v>97.160043157069126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96.100606131678902</v>
      </c>
      <c r="T50" s="12">
        <f>IF(RZS_WS[[#This Row],[名前]]="","",(100+((VLOOKUP(RZS_WS[[#This Row],[No用]],Q_Stat[],26,FALSE)-Statistics100!M$23)*5)/Statistics100!M$30))</f>
        <v>95.157509485771726</v>
      </c>
      <c r="U50" s="12">
        <f>IF(RZS_WS[[#This Row],[名前]]="","",(100+((VLOOKUP(RZS_WS[[#This Row],[No用]],Q_Stat[],27,FALSE)-Statistics100!N$23)*5)/Statistics100!N$30))</f>
        <v>95.503401665359448</v>
      </c>
      <c r="V50" s="12">
        <f>IF(RZS_WS[[#This Row],[名前]]="","",(100+((VLOOKUP(RZS_WS[[#This Row],[No用]],Q_Stat[],28,FALSE)-Statistics100!O$23)*5)/Statistics100!O$30))</f>
        <v>103.85422714397761</v>
      </c>
      <c r="W50" s="12">
        <f>IF(RZS_WS[[#This Row],[名前]]="","",(100+((VLOOKUP(RZS_WS[[#This Row],[No用]],Q_Stat[],29,FALSE)-Statistics100!P$23)*5)/Statistics100!P$30))</f>
        <v>96.14577285602239</v>
      </c>
      <c r="X50" s="12">
        <f>IF(RZS_WS[[#This Row],[名前]]="","",(100+((VLOOKUP(RZS_WS[[#This Row],[No用]],Q_Stat[],30,FALSE)-Statistics100!Q$23)*5)/Statistics100!Q$30))</f>
        <v>95.503401665359448</v>
      </c>
    </row>
    <row r="51" spans="1:24" x14ac:dyDescent="0.35">
      <c r="A51" t="str">
        <f>IFERROR(Q_WS[[#This Row],[No.]],"")</f>
        <v>125</v>
      </c>
      <c r="B51" t="str">
        <f>IFERROR(Q_WS[[#This Row],[服装]],"")</f>
        <v>職業体験</v>
      </c>
      <c r="C51" t="str">
        <f>IFERROR(Q_WS[[#This Row],[名前]],"")</f>
        <v>百沢雄大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職業体験百沢雄大ICONIC</v>
      </c>
      <c r="I51" s="12">
        <f>IF(RZS_WS[[#This Row],[名前]]="","",(100+((VLOOKUP(RZS_WS[[#This Row],[No用]],Q_Stat[],13,FALSE)-Statistics100!B$23)*5)/Statistics100!B$30))</f>
        <v>99.000755925635431</v>
      </c>
      <c r="J51" s="12">
        <f>IF(RZS_WS[[#This Row],[名前]]="","",(100+((VLOOKUP(RZS_WS[[#This Row],[No用]],Q_Stat[],14,FALSE)-Statistics100!C$23)*5)/Statistics100!C$30))</f>
        <v>101.12414958366014</v>
      </c>
      <c r="K51" s="12">
        <f>IF(RZS_WS[[#This Row],[名前]]="","",(100+((VLOOKUP(RZS_WS[[#This Row],[No用]],Q_Stat[],15,FALSE)-Statistics100!D$23)*5)/Statistics100!D$30))</f>
        <v>107.70845428795522</v>
      </c>
      <c r="L51" s="12">
        <f>IF(RZS_WS[[#This Row],[名前]]="","",(100+((VLOOKUP(RZS_WS[[#This Row],[No用]],Q_Stat[],16,FALSE)-Statistics100!E$23)*5)/Statistics100!E$30))</f>
        <v>96.40272133228757</v>
      </c>
      <c r="M51" s="12">
        <f>IF(RZS_WS[[#This Row],[名前]]="","",(100+((VLOOKUP(RZS_WS[[#This Row],[No用]],Q_Stat[],17,FALSE)-Statistics100!F$23)*5)/Statistics100!F$30))</f>
        <v>94.941326873529391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98.501133888453154</v>
      </c>
      <c r="P51" s="12">
        <f>IF(RZS_WS[[#This Row],[名前]]="","",(100+((VLOOKUP(RZS_WS[[#This Row],[No用]],Q_Stat[],20,FALSE)-Statistics100!I$23)*5)/Statistics100!I$30))</f>
        <v>100.67448975019609</v>
      </c>
      <c r="Q51" s="12">
        <f>IF(RZS_WS[[#This Row],[名前]]="","",(100+((VLOOKUP(RZS_WS[[#This Row],[No用]],Q_Stat[],21,FALSE)-Statistics100!J$23)*5)/Statistics100!J$30))</f>
        <v>98.58002157853457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99.051498788786759</v>
      </c>
      <c r="T51" s="12">
        <f>IF(RZS_WS[[#This Row],[名前]]="","",(100+((VLOOKUP(RZS_WS[[#This Row],[No用]],Q_Stat[],26,FALSE)-Statistics100!M$23)*5)/Statistics100!M$30))</f>
        <v>97.232862563298127</v>
      </c>
      <c r="U51" s="12">
        <f>IF(RZS_WS[[#This Row],[名前]]="","",(100+((VLOOKUP(RZS_WS[[#This Row],[No用]],Q_Stat[],27,FALSE)-Statistics100!N$23)*5)/Statistics100!N$30))</f>
        <v>97.751700832679731</v>
      </c>
      <c r="V51" s="12">
        <f>IF(RZS_WS[[#This Row],[名前]]="","",(100+((VLOOKUP(RZS_WS[[#This Row],[No用]],Q_Stat[],28,FALSE)-Statistics100!O$23)*5)/Statistics100!O$30))</f>
        <v>107.70845428795522</v>
      </c>
      <c r="W51" s="12">
        <f>IF(RZS_WS[[#This Row],[名前]]="","",(100+((VLOOKUP(RZS_WS[[#This Row],[No用]],Q_Stat[],29,FALSE)-Statistics100!P$23)*5)/Statistics100!P$30))</f>
        <v>98.072886428011188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照島游児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ユニフォーム照島游児ICONIC</v>
      </c>
      <c r="I52" s="12">
        <f>IF(RZS_WS[[#This Row],[名前]]="","",(100+((VLOOKUP(RZS_WS[[#This Row],[No用]],Q_Stat[],13,FALSE)-Statistics100!B$23)*5)/Statistics100!B$30))</f>
        <v>99.000755925635431</v>
      </c>
      <c r="J52" s="12">
        <f>IF(RZS_WS[[#This Row],[名前]]="","",(100+((VLOOKUP(RZS_WS[[#This Row],[No用]],Q_Stat[],14,FALSE)-Statistics100!C$23)*5)/Statistics100!C$30))</f>
        <v>101.12414958366014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103.59727866771243</v>
      </c>
      <c r="M52" s="12">
        <f>IF(RZS_WS[[#This Row],[名前]]="","",(100+((VLOOKUP(RZS_WS[[#This Row],[No用]],Q_Stat[],17,FALSE)-Statistics100!F$23)*5)/Statistics100!F$30))</f>
        <v>101.6862243754902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97.002267776906308</v>
      </c>
      <c r="P52" s="12">
        <f>IF(RZS_WS[[#This Row],[名前]]="","",(100+((VLOOKUP(RZS_WS[[#This Row],[No用]],Q_Stat[],20,FALSE)-Statistics100!I$23)*5)/Statistics100!I$30))</f>
        <v>99.325510249803912</v>
      </c>
      <c r="Q52" s="12">
        <f>IF(RZS_WS[[#This Row],[名前]]="","",(100+((VLOOKUP(RZS_WS[[#This Row],[No用]],Q_Stat[],21,FALSE)-Statistics100!J$23)*5)/Statistics100!J$30))</f>
        <v>102.83995684293087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102.00239144589462</v>
      </c>
      <c r="T52" s="12">
        <f>IF(RZS_WS[[#This Row],[名前]]="","",(100+((VLOOKUP(RZS_WS[[#This Row],[No用]],Q_Stat[],26,FALSE)-Statistics100!M$23)*5)/Statistics100!M$30))</f>
        <v>100</v>
      </c>
      <c r="U52" s="12">
        <f>IF(RZS_WS[[#This Row],[名前]]="","",(100+((VLOOKUP(RZS_WS[[#This Row],[No用]],Q_Stat[],27,FALSE)-Statistics100!N$23)*5)/Statistics100!N$30))</f>
        <v>102.24829916732027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95.503401665359448</v>
      </c>
    </row>
    <row r="53" spans="1:24" x14ac:dyDescent="0.35">
      <c r="A53" t="str">
        <f>IFERROR(Q_WS[[#This Row],[No.]],"")</f>
        <v>127</v>
      </c>
      <c r="B53" t="str">
        <f>IFERROR(Q_WS[[#This Row],[服装]],"")</f>
        <v>制服</v>
      </c>
      <c r="C53" t="str">
        <f>IFERROR(Q_WS[[#This Row],[名前]],"")</f>
        <v>照島游児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制服照島游児ICONIC</v>
      </c>
      <c r="I53" s="12">
        <f>IF(RZS_WS[[#This Row],[名前]]="","",(100+((VLOOKUP(RZS_WS[[#This Row],[No用]],Q_Stat[],13,FALSE)-Statistics100!B$23)*5)/Statistics100!B$30))</f>
        <v>101.99848814872914</v>
      </c>
      <c r="J53" s="12">
        <f>IF(RZS_WS[[#This Row],[名前]]="","",(100+((VLOOKUP(RZS_WS[[#This Row],[No用]],Q_Stat[],14,FALSE)-Statistics100!C$23)*5)/Statistics100!C$30))</f>
        <v>104.49659833464055</v>
      </c>
      <c r="K53" s="12">
        <f>IF(RZS_WS[[#This Row],[名前]]="","",(100+((VLOOKUP(RZS_WS[[#This Row],[No用]],Q_Stat[],15,FALSE)-Statistics100!D$23)*5)/Statistics100!D$30))</f>
        <v>103.85422714397761</v>
      </c>
      <c r="L53" s="12">
        <f>IF(RZS_WS[[#This Row],[名前]]="","",(100+((VLOOKUP(RZS_WS[[#This Row],[No用]],Q_Stat[],16,FALSE)-Statistics100!E$23)*5)/Statistics100!E$30))</f>
        <v>105.39591800156866</v>
      </c>
      <c r="M53" s="12">
        <f>IF(RZS_WS[[#This Row],[名前]]="","",(100+((VLOOKUP(RZS_WS[[#This Row],[No用]],Q_Stat[],17,FALSE)-Statistics100!F$23)*5)/Statistics100!F$30))</f>
        <v>101.6862243754902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98.501133888453154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104.2599352643963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104.95328410300247</v>
      </c>
      <c r="T53" s="12">
        <f>IF(RZS_WS[[#This Row],[名前]]="","",(100+((VLOOKUP(RZS_WS[[#This Row],[No用]],Q_Stat[],26,FALSE)-Statistics100!M$23)*5)/Statistics100!M$30))</f>
        <v>102.0753530775264</v>
      </c>
      <c r="U53" s="12">
        <f>IF(RZS_WS[[#This Row],[名前]]="","",(100+((VLOOKUP(RZS_WS[[#This Row],[No用]],Q_Stat[],27,FALSE)-Statistics100!N$23)*5)/Statistics100!N$30))</f>
        <v>104.49659833464055</v>
      </c>
      <c r="V53" s="12">
        <f>IF(RZS_WS[[#This Row],[名前]]="","",(100+((VLOOKUP(RZS_WS[[#This Row],[No用]],Q_Stat[],28,FALSE)-Statistics100!O$23)*5)/Statistics100!O$30))</f>
        <v>103.85422714397761</v>
      </c>
      <c r="W53" s="12">
        <f>IF(RZS_WS[[#This Row],[名前]]="","",(100+((VLOOKUP(RZS_WS[[#This Row],[No用]],Q_Stat[],29,FALSE)-Statistics100!P$23)*5)/Statistics100!P$30))</f>
        <v>101.92711357198881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 t="str">
        <f>IFERROR(Q_WS[[#This Row],[No.]],"")</f>
        <v>128</v>
      </c>
      <c r="B54" t="str">
        <f>IFERROR(Q_WS[[#This Row],[服装]],"")</f>
        <v>雪遊び</v>
      </c>
      <c r="C54" t="str">
        <f>IFERROR(Q_WS[[#This Row],[名前]],"")</f>
        <v>照島游児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雪遊び照島游児ICONIC</v>
      </c>
      <c r="I54" s="12">
        <f>IF(RZS_WS[[#This Row],[名前]]="","",(100+((VLOOKUP(RZS_WS[[#This Row],[No用]],Q_Stat[],13,FALSE)-Statistics100!B$23)*5)/Statistics100!B$30))</f>
        <v>104.99622037182283</v>
      </c>
      <c r="J54" s="12">
        <f>IF(RZS_WS[[#This Row],[名前]]="","",(100+((VLOOKUP(RZS_WS[[#This Row],[No用]],Q_Stat[],14,FALSE)-Statistics100!C$23)*5)/Statistics100!C$30))</f>
        <v>101.12414958366014</v>
      </c>
      <c r="K54" s="12">
        <f>IF(RZS_WS[[#This Row],[名前]]="","",(100+((VLOOKUP(RZS_WS[[#This Row],[No用]],Q_Stat[],15,FALSE)-Statistics100!D$23)*5)/Statistics100!D$30))</f>
        <v>103.85422714397761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101.6862243754902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98.501133888453154</v>
      </c>
      <c r="P54" s="12">
        <f>IF(RZS_WS[[#This Row],[名前]]="","",(100+((VLOOKUP(RZS_WS[[#This Row],[No用]],Q_Stat[],20,FALSE)-Statistics100!I$23)*5)/Statistics100!I$30))</f>
        <v>106.07040775176473</v>
      </c>
      <c r="Q54" s="12">
        <f>IF(RZS_WS[[#This Row],[名前]]="","",(100+((VLOOKUP(RZS_WS[[#This Row],[No用]],Q_Stat[],21,FALSE)-Statistics100!J$23)*5)/Statistics100!J$30))</f>
        <v>104.2599352643963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104.95328410300247</v>
      </c>
      <c r="T54" s="12">
        <f>IF(RZS_WS[[#This Row],[名前]]="","",(100+((VLOOKUP(RZS_WS[[#This Row],[No用]],Q_Stat[],26,FALSE)-Statistics100!M$23)*5)/Statistics100!M$30))</f>
        <v>104.15070615505282</v>
      </c>
      <c r="U54" s="12">
        <f>IF(RZS_WS[[#This Row],[名前]]="","",(100+((VLOOKUP(RZS_WS[[#This Row],[No用]],Q_Stat[],27,FALSE)-Statistics100!N$23)*5)/Statistics100!N$30))</f>
        <v>101.12414958366014</v>
      </c>
      <c r="V54" s="12">
        <f>IF(RZS_WS[[#This Row],[名前]]="","",(100+((VLOOKUP(RZS_WS[[#This Row],[No用]],Q_Stat[],28,FALSE)-Statistics100!O$23)*5)/Statistics100!O$30))</f>
        <v>103.85422714397761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103.37244875098041</v>
      </c>
    </row>
    <row r="55" spans="1:24" x14ac:dyDescent="0.35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沼尻凛太郎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ユニフォーム沼尻凛太郎ICONIC</v>
      </c>
      <c r="I55" s="12">
        <f>IF(RZS_WS[[#This Row],[名前]]="","",(100+((VLOOKUP(RZS_WS[[#This Row],[No用]],Q_Stat[],13,FALSE)-Statistics100!B$23)*5)/Statistics100!B$30))</f>
        <v>97.002267776906308</v>
      </c>
      <c r="J55" s="12">
        <f>IF(RZS_WS[[#This Row],[名前]]="","",(100+((VLOOKUP(RZS_WS[[#This Row],[No用]],Q_Stat[],14,FALSE)-Statistics100!C$23)*5)/Statistics100!C$30))</f>
        <v>98.875850416339858</v>
      </c>
      <c r="K55" s="12">
        <f>IF(RZS_WS[[#This Row],[名前]]="","",(100+((VLOOKUP(RZS_WS[[#This Row],[No用]],Q_Stat[],15,FALSE)-Statistics100!D$23)*5)/Statistics100!D$30))</f>
        <v>96.14577285602239</v>
      </c>
      <c r="L55" s="12">
        <f>IF(RZS_WS[[#This Row],[名前]]="","",(100+((VLOOKUP(RZS_WS[[#This Row],[No用]],Q_Stat[],16,FALSE)-Statistics100!E$23)*5)/Statistics100!E$30))</f>
        <v>96.40272133228757</v>
      </c>
      <c r="M55" s="12">
        <f>IF(RZS_WS[[#This Row],[名前]]="","",(100+((VLOOKUP(RZS_WS[[#This Row],[No用]],Q_Stat[],17,FALSE)-Statistics100!F$23)*5)/Statistics100!F$30))</f>
        <v>94.941326873529391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97.002267776906308</v>
      </c>
      <c r="P55" s="12">
        <f>IF(RZS_WS[[#This Row],[名前]]="","",(100+((VLOOKUP(RZS_WS[[#This Row],[No用]],Q_Stat[],20,FALSE)-Statistics100!I$23)*5)/Statistics100!I$30))</f>
        <v>96.627551249019589</v>
      </c>
      <c r="Q55" s="12">
        <f>IF(RZS_WS[[#This Row],[名前]]="","",(100+((VLOOKUP(RZS_WS[[#This Row],[No用]],Q_Stat[],21,FALSE)-Statistics100!J$23)*5)/Statistics100!J$30))</f>
        <v>97.160043157069126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98.208386601041653</v>
      </c>
      <c r="T55" s="12">
        <f>IF(RZS_WS[[#This Row],[名前]]="","",(100+((VLOOKUP(RZS_WS[[#This Row],[No用]],Q_Stat[],26,FALSE)-Statistics100!M$23)*5)/Statistics100!M$30))</f>
        <v>95.849293844947184</v>
      </c>
      <c r="U55" s="12">
        <f>IF(RZS_WS[[#This Row],[名前]]="","",(100+((VLOOKUP(RZS_WS[[#This Row],[No用]],Q_Stat[],27,FALSE)-Statistics100!N$23)*5)/Statistics100!N$30))</f>
        <v>96.627551249019589</v>
      </c>
      <c r="V55" s="12">
        <f>IF(RZS_WS[[#This Row],[名前]]="","",(100+((VLOOKUP(RZS_WS[[#This Row],[No用]],Q_Stat[],28,FALSE)-Statistics100!O$23)*5)/Statistics100!O$30))</f>
        <v>96.14577285602239</v>
      </c>
      <c r="W55" s="12">
        <f>IF(RZS_WS[[#This Row],[名前]]="","",(100+((VLOOKUP(RZS_WS[[#This Row],[No用]],Q_Stat[],29,FALSE)-Statistics100!P$23)*5)/Statistics100!P$30))</f>
        <v>96.14577285602239</v>
      </c>
      <c r="X55" s="12">
        <f>IF(RZS_WS[[#This Row],[名前]]="","",(100+((VLOOKUP(RZS_WS[[#This Row],[No用]],Q_Stat[],30,FALSE)-Statistics100!Q$23)*5)/Statistics100!Q$30))</f>
        <v>94.37925208169932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東山勝道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ユニフォーム東山勝道ICONIC</v>
      </c>
      <c r="I56" s="12">
        <f>IF(RZS_WS[[#This Row],[名前]]="","",(100+((VLOOKUP(RZS_WS[[#This Row],[No用]],Q_Stat[],13,FALSE)-Statistics100!B$23)*5)/Statistics100!B$30))</f>
        <v>95.00377962817717</v>
      </c>
      <c r="J56" s="12">
        <f>IF(RZS_WS[[#This Row],[名前]]="","",(100+((VLOOKUP(RZS_WS[[#This Row],[No用]],Q_Stat[],14,FALSE)-Statistics100!C$23)*5)/Statistics100!C$30))</f>
        <v>97.751700832679731</v>
      </c>
      <c r="K56" s="12">
        <f>IF(RZS_WS[[#This Row],[名前]]="","",(100+((VLOOKUP(RZS_WS[[#This Row],[No用]],Q_Stat[],15,FALSE)-Statistics100!D$23)*5)/Statistics100!D$30))</f>
        <v>96.14577285602239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94.941326873529391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97.002267776906308</v>
      </c>
      <c r="P56" s="12">
        <f>IF(RZS_WS[[#This Row],[名前]]="","",(100+((VLOOKUP(RZS_WS[[#This Row],[No用]],Q_Stat[],20,FALSE)-Statistics100!I$23)*5)/Statistics100!I$30))</f>
        <v>102.02346925058825</v>
      </c>
      <c r="Q56" s="12">
        <f>IF(RZS_WS[[#This Row],[名前]]="","",(100+((VLOOKUP(RZS_WS[[#This Row],[No用]],Q_Stat[],21,FALSE)-Statistics100!J$23)*5)/Statistics100!J$30))</f>
        <v>102.83995684293087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99.683832929595582</v>
      </c>
      <c r="T56" s="12">
        <f>IF(RZS_WS[[#This Row],[名前]]="","",(100+((VLOOKUP(RZS_WS[[#This Row],[No用]],Q_Stat[],26,FALSE)-Statistics100!M$23)*5)/Statistics100!M$30))</f>
        <v>94.465725126596254</v>
      </c>
      <c r="U56" s="12">
        <f>IF(RZS_WS[[#This Row],[名前]]="","",(100+((VLOOKUP(RZS_WS[[#This Row],[No用]],Q_Stat[],27,FALSE)-Statistics100!N$23)*5)/Statistics100!N$30))</f>
        <v>97.18962604084966</v>
      </c>
      <c r="V56" s="12">
        <f>IF(RZS_WS[[#This Row],[名前]]="","",(100+((VLOOKUP(RZS_WS[[#This Row],[No用]],Q_Stat[],28,FALSE)-Statistics100!O$23)*5)/Statistics100!O$30))</f>
        <v>96.14577285602239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98.875850416339858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中島猛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ユニフォーム中島猛ICONIC</v>
      </c>
      <c r="I57" s="12">
        <f>IF(RZS_WS[[#This Row],[名前]]="","",(100+((VLOOKUP(RZS_WS[[#This Row],[No用]],Q_Stat[],13,FALSE)-Statistics100!B$23)*5)/Statistics100!B$30))</f>
        <v>100</v>
      </c>
      <c r="J57" s="12">
        <f>IF(RZS_WS[[#This Row],[名前]]="","",(100+((VLOOKUP(RZS_WS[[#This Row],[No用]],Q_Stat[],14,FALSE)-Statistics100!C$23)*5)/Statistics100!C$30))</f>
        <v>101.12414958366014</v>
      </c>
      <c r="K57" s="12">
        <f>IF(RZS_WS[[#This Row],[名前]]="","",(100+((VLOOKUP(RZS_WS[[#This Row],[No用]],Q_Stat[],15,FALSE)-Statistics100!D$23)*5)/Statistics100!D$30))</f>
        <v>96.14577285602239</v>
      </c>
      <c r="L57" s="12">
        <f>IF(RZS_WS[[#This Row],[名前]]="","",(100+((VLOOKUP(RZS_WS[[#This Row],[No用]],Q_Stat[],16,FALSE)-Statistics100!E$23)*5)/Statistics100!E$30))</f>
        <v>101.79863933385622</v>
      </c>
      <c r="M57" s="12">
        <f>IF(RZS_WS[[#This Row],[名前]]="","",(100+((VLOOKUP(RZS_WS[[#This Row],[No用]],Q_Stat[],17,FALSE)-Statistics100!F$23)*5)/Statistics100!F$30))</f>
        <v>94.941326873529391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97.002267776906308</v>
      </c>
      <c r="P57" s="12">
        <f>IF(RZS_WS[[#This Row],[名前]]="","",(100+((VLOOKUP(RZS_WS[[#This Row],[No用]],Q_Stat[],20,FALSE)-Statistics100!I$23)*5)/Statistics100!I$30))</f>
        <v>102.02346925058825</v>
      </c>
      <c r="Q57" s="12">
        <f>IF(RZS_WS[[#This Row],[名前]]="","",(100+((VLOOKUP(RZS_WS[[#This Row],[No用]],Q_Stat[],21,FALSE)-Statistics100!J$23)*5)/Statistics100!J$30))</f>
        <v>104.2599352643963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101.79161339895835</v>
      </c>
      <c r="T57" s="12">
        <f>IF(RZS_WS[[#This Row],[名前]]="","",(100+((VLOOKUP(RZS_WS[[#This Row],[No用]],Q_Stat[],26,FALSE)-Statistics100!M$23)*5)/Statistics100!M$30))</f>
        <v>97.924646922473599</v>
      </c>
      <c r="U57" s="12">
        <f>IF(RZS_WS[[#This Row],[名前]]="","",(100+((VLOOKUP(RZS_WS[[#This Row],[No用]],Q_Stat[],27,FALSE)-Statistics100!N$23)*5)/Statistics100!N$30))</f>
        <v>99.437925208169929</v>
      </c>
      <c r="V57" s="12">
        <f>IF(RZS_WS[[#This Row],[名前]]="","",(100+((VLOOKUP(RZS_WS[[#This Row],[No用]],Q_Stat[],28,FALSE)-Statistics100!O$23)*5)/Statistics100!O$30))</f>
        <v>96.14577285602239</v>
      </c>
      <c r="W57" s="12">
        <f>IF(RZS_WS[[#This Row],[名前]]="","",(100+((VLOOKUP(RZS_WS[[#This Row],[No用]],Q_Stat[],29,FALSE)-Statistics100!P$23)*5)/Statistics100!P$30))</f>
        <v>100.9635567859944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137</v>
      </c>
      <c r="B58" t="str">
        <f>IFERROR(Q_WS[[#This Row],[服装]],"")</f>
        <v>ユニフォーム</v>
      </c>
      <c r="C58" t="str">
        <f>IFERROR(Q_WS[[#This Row],[名前]],"")</f>
        <v>白石優希</v>
      </c>
      <c r="D58" t="str">
        <f>IFERROR(Q_WS[[#This Row],[じゃんけん]],"")</f>
        <v>パー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ユニフォーム白石優希ICONIC</v>
      </c>
      <c r="I58" s="12">
        <f>IF(RZS_WS[[#This Row],[名前]]="","",(100+((VLOOKUP(RZS_WS[[#This Row],[No用]],Q_Stat[],13,FALSE)-Statistics100!B$23)*5)/Statistics100!B$30))</f>
        <v>96.003023702541739</v>
      </c>
      <c r="J58" s="12">
        <f>IF(RZS_WS[[#This Row],[名前]]="","",(100+((VLOOKUP(RZS_WS[[#This Row],[No用]],Q_Stat[],14,FALSE)-Statistics100!C$23)*5)/Statistics100!C$30))</f>
        <v>95.503401665359448</v>
      </c>
      <c r="K58" s="12">
        <f>IF(RZS_WS[[#This Row],[名前]]="","",(100+((VLOOKUP(RZS_WS[[#This Row],[No用]],Q_Stat[],15,FALSE)-Statistics100!D$23)*5)/Statistics100!D$30))</f>
        <v>96.14577285602239</v>
      </c>
      <c r="L58" s="12">
        <f>IF(RZS_WS[[#This Row],[名前]]="","",(100+((VLOOKUP(RZS_WS[[#This Row],[No用]],Q_Stat[],16,FALSE)-Statistics100!E$23)*5)/Statistics100!E$30))</f>
        <v>94.60408199843134</v>
      </c>
      <c r="M58" s="12">
        <f>IF(RZS_WS[[#This Row],[名前]]="","",(100+((VLOOKUP(RZS_WS[[#This Row],[No用]],Q_Stat[],17,FALSE)-Statistics100!F$23)*5)/Statistics100!F$30))</f>
        <v>94.941326873529391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97.002267776906308</v>
      </c>
      <c r="P58" s="12">
        <f>IF(RZS_WS[[#This Row],[名前]]="","",(100+((VLOOKUP(RZS_WS[[#This Row],[No用]],Q_Stat[],20,FALSE)-Statistics100!I$23)*5)/Statistics100!I$30))</f>
        <v>95.278571748627428</v>
      </c>
      <c r="Q58" s="12">
        <f>IF(RZS_WS[[#This Row],[名前]]="","",(100+((VLOOKUP(RZS_WS[[#This Row],[No用]],Q_Stat[],21,FALSE)-Statistics100!J$23)*5)/Statistics100!J$30))</f>
        <v>97.160043157069126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94.414381756188703</v>
      </c>
      <c r="T58" s="12">
        <f>IF(RZS_WS[[#This Row],[名前]]="","",(100+((VLOOKUP(RZS_WS[[#This Row],[No用]],Q_Stat[],26,FALSE)-Statistics100!M$23)*5)/Statistics100!M$30))</f>
        <v>95.157509485771726</v>
      </c>
      <c r="U58" s="12">
        <f>IF(RZS_WS[[#This Row],[名前]]="","",(100+((VLOOKUP(RZS_WS[[#This Row],[No用]],Q_Stat[],27,FALSE)-Statistics100!N$23)*5)/Statistics100!N$30))</f>
        <v>94.37925208169932</v>
      </c>
      <c r="V58" s="12">
        <f>IF(RZS_WS[[#This Row],[名前]]="","",(100+((VLOOKUP(RZS_WS[[#This Row],[No用]],Q_Stat[],28,FALSE)-Statistics100!O$23)*5)/Statistics100!O$30))</f>
        <v>96.14577285602239</v>
      </c>
      <c r="W58" s="12">
        <f>IF(RZS_WS[[#This Row],[名前]]="","",(100+((VLOOKUP(RZS_WS[[#This Row],[No用]],Q_Stat[],29,FALSE)-Statistics100!P$23)*5)/Statistics100!P$30))</f>
        <v>96.14577285602239</v>
      </c>
      <c r="X58" s="12">
        <f>IF(RZS_WS[[#This Row],[名前]]="","",(100+((VLOOKUP(RZS_WS[[#This Row],[No用]],Q_Stat[],30,FALSE)-Statistics100!Q$23)*5)/Statistics100!Q$30))</f>
        <v>91.00680333071891</v>
      </c>
    </row>
    <row r="59" spans="1:24" x14ac:dyDescent="0.35">
      <c r="A59" t="str">
        <f>IFERROR(Q_WS[[#This Row],[No.]],"")</f>
        <v>142</v>
      </c>
      <c r="B59" t="str">
        <f>IFERROR(Q_WS[[#This Row],[服装]],"")</f>
        <v>ユニフォーム</v>
      </c>
      <c r="C59" t="str">
        <f>IFERROR(Q_WS[[#This Row],[名前]],"")</f>
        <v>川渡瞬己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ユニフォーム川渡瞬己ICONIC</v>
      </c>
      <c r="I59" s="12">
        <f>IF(RZS_WS[[#This Row],[名前]]="","",(100+((VLOOKUP(RZS_WS[[#This Row],[No用]],Q_Stat[],13,FALSE)-Statistics100!B$23)*5)/Statistics100!B$30))</f>
        <v>98.001511851270863</v>
      </c>
      <c r="J59" s="12">
        <f>IF(RZS_WS[[#This Row],[名前]]="","",(100+((VLOOKUP(RZS_WS[[#This Row],[No用]],Q_Stat[],14,FALSE)-Statistics100!C$23)*5)/Statistics100!C$30))</f>
        <v>97.751700832679731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101.6862243754902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98.501133888453154</v>
      </c>
      <c r="P59" s="12">
        <f>IF(RZS_WS[[#This Row],[名前]]="","",(100+((VLOOKUP(RZS_WS[[#This Row],[No用]],Q_Stat[],20,FALSE)-Statistics100!I$23)*5)/Statistics100!I$30))</f>
        <v>99.325510249803912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99.894610976531865</v>
      </c>
      <c r="T59" s="12">
        <f>IF(RZS_WS[[#This Row],[名前]]="","",(100+((VLOOKUP(RZS_WS[[#This Row],[No用]],Q_Stat[],26,FALSE)-Statistics100!M$23)*5)/Statistics100!M$30))</f>
        <v>99.308215640824528</v>
      </c>
      <c r="U59" s="12">
        <f>IF(RZS_WS[[#This Row],[名前]]="","",(100+((VLOOKUP(RZS_WS[[#This Row],[No用]],Q_Stat[],27,FALSE)-Statistics100!N$23)*5)/Statistics100!N$30))</f>
        <v>99.437925208169929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99.036443214005601</v>
      </c>
      <c r="X59" s="12">
        <f>IF(RZS_WS[[#This Row],[名前]]="","",(100+((VLOOKUP(RZS_WS[[#This Row],[No用]],Q_Stat[],30,FALSE)-Statistics100!Q$23)*5)/Statistics100!Q$30))</f>
        <v>97.751700832679731</v>
      </c>
    </row>
    <row r="60" spans="1:24" x14ac:dyDescent="0.35">
      <c r="A60" t="str">
        <f>IFERROR(Q_WS[[#This Row],[No.]],"")</f>
        <v>143</v>
      </c>
      <c r="B60" t="str">
        <f>IFERROR(Q_WS[[#This Row],[服装]],"")</f>
        <v>ユニフォーム</v>
      </c>
      <c r="C60" t="str">
        <f>IFERROR(Q_WS[[#This Row],[名前]],"")</f>
        <v>牛島若利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ユニフォーム牛島若利ICONIC</v>
      </c>
      <c r="I60" s="12">
        <f>IF(RZS_WS[[#This Row],[名前]]="","",(100+((VLOOKUP(RZS_WS[[#This Row],[No用]],Q_Stat[],13,FALSE)-Statistics100!B$23)*5)/Statistics100!B$30))</f>
        <v>106.99470852055197</v>
      </c>
      <c r="J60" s="12">
        <f>IF(RZS_WS[[#This Row],[名前]]="","",(100+((VLOOKUP(RZS_WS[[#This Row],[No用]],Q_Stat[],14,FALSE)-Statistics100!C$23)*5)/Statistics100!C$30))</f>
        <v>111.24149583660136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105.39591800156866</v>
      </c>
      <c r="M60" s="12">
        <f>IF(RZS_WS[[#This Row],[名前]]="","",(100+((VLOOKUP(RZS_WS[[#This Row],[No用]],Q_Stat[],17,FALSE)-Statistics100!F$23)*5)/Statistics100!F$30))</f>
        <v>101.6862243754902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98.501133888453154</v>
      </c>
      <c r="P60" s="12">
        <f>IF(RZS_WS[[#This Row],[名前]]="","",(100+((VLOOKUP(RZS_WS[[#This Row],[No用]],Q_Stat[],20,FALSE)-Statistics100!I$23)*5)/Statistics100!I$30))</f>
        <v>102.02346925058825</v>
      </c>
      <c r="Q60" s="12">
        <f>IF(RZS_WS[[#This Row],[名前]]="","",(100+((VLOOKUP(RZS_WS[[#This Row],[No用]],Q_Stat[],21,FALSE)-Statistics100!J$23)*5)/Statistics100!J$30))</f>
        <v>102.83995684293087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106.85028652542896</v>
      </c>
      <c r="T60" s="12">
        <f>IF(RZS_WS[[#This Row],[名前]]="","",(100+((VLOOKUP(RZS_WS[[#This Row],[No用]],Q_Stat[],26,FALSE)-Statistics100!M$23)*5)/Statistics100!M$30))</f>
        <v>105.53427487340375</v>
      </c>
      <c r="U60" s="12">
        <f>IF(RZS_WS[[#This Row],[名前]]="","",(100+((VLOOKUP(RZS_WS[[#This Row],[No用]],Q_Stat[],27,FALSE)-Statistics100!N$23)*5)/Statistics100!N$30))</f>
        <v>107.86904708562096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100.9635567859944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 t="str">
        <f>IFERROR(Q_WS[[#This Row],[No.]],"")</f>
        <v>144</v>
      </c>
      <c r="B61" t="str">
        <f>IFERROR(Q_WS[[#This Row],[服装]],"")</f>
        <v>水着</v>
      </c>
      <c r="C61" t="str">
        <f>IFERROR(Q_WS[[#This Row],[名前]],"")</f>
        <v>牛島若利</v>
      </c>
      <c r="D61" t="str">
        <f>IFERROR(Q_WS[[#This Row],[じゃんけん]],"")</f>
        <v>パー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水着牛島若利ICONIC</v>
      </c>
      <c r="I61" s="12">
        <f>IF(RZS_WS[[#This Row],[名前]]="","",(100+((VLOOKUP(RZS_WS[[#This Row],[No用]],Q_Stat[],13,FALSE)-Statistics100!B$23)*5)/Statistics100!B$30))</f>
        <v>109.99244074364566</v>
      </c>
      <c r="J61" s="12">
        <f>IF(RZS_WS[[#This Row],[名前]]="","",(100+((VLOOKUP(RZS_WS[[#This Row],[No用]],Q_Stat[],14,FALSE)-Statistics100!C$23)*5)/Statistics100!C$30))</f>
        <v>114.61394458758177</v>
      </c>
      <c r="K61" s="12">
        <f>IF(RZS_WS[[#This Row],[名前]]="","",(100+((VLOOKUP(RZS_WS[[#This Row],[No用]],Q_Stat[],15,FALSE)-Statistics100!D$23)*5)/Statistics100!D$30))</f>
        <v>103.85422714397761</v>
      </c>
      <c r="L61" s="12">
        <f>IF(RZS_WS[[#This Row],[名前]]="","",(100+((VLOOKUP(RZS_WS[[#This Row],[No用]],Q_Stat[],16,FALSE)-Statistics100!E$23)*5)/Statistics100!E$30))</f>
        <v>107.19455733542488</v>
      </c>
      <c r="M61" s="12">
        <f>IF(RZS_WS[[#This Row],[名前]]="","",(100+((VLOOKUP(RZS_WS[[#This Row],[No用]],Q_Stat[],17,FALSE)-Statistics100!F$23)*5)/Statistics100!F$30))</f>
        <v>101.6862243754902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106.07040775176473</v>
      </c>
      <c r="Q61" s="12">
        <f>IF(RZS_WS[[#This Row],[名前]]="","",(100+((VLOOKUP(RZS_WS[[#This Row],[No用]],Q_Stat[],21,FALSE)-Statistics100!J$23)*5)/Statistics100!J$30))</f>
        <v>104.2599352643963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109.80117918253681</v>
      </c>
      <c r="T61" s="12">
        <f>IF(RZS_WS[[#This Row],[名前]]="","",(100+((VLOOKUP(RZS_WS[[#This Row],[No用]],Q_Stat[],26,FALSE)-Statistics100!M$23)*5)/Statistics100!M$30))</f>
        <v>107.60962795093016</v>
      </c>
      <c r="U61" s="12">
        <f>IF(RZS_WS[[#This Row],[名前]]="","",(100+((VLOOKUP(RZS_WS[[#This Row],[No用]],Q_Stat[],27,FALSE)-Statistics100!N$23)*5)/Statistics100!N$30))</f>
        <v>110.11734625294123</v>
      </c>
      <c r="V61" s="12">
        <f>IF(RZS_WS[[#This Row],[名前]]="","",(100+((VLOOKUP(RZS_WS[[#This Row],[No用]],Q_Stat[],28,FALSE)-Statistics100!O$23)*5)/Statistics100!O$30))</f>
        <v>103.85422714397761</v>
      </c>
      <c r="W61" s="12">
        <f>IF(RZS_WS[[#This Row],[名前]]="","",(100+((VLOOKUP(RZS_WS[[#This Row],[No用]],Q_Stat[],29,FALSE)-Statistics100!P$23)*5)/Statistics100!P$30))</f>
        <v>102.89067035798321</v>
      </c>
      <c r="X61" s="12">
        <f>IF(RZS_WS[[#This Row],[名前]]="","",(100+((VLOOKUP(RZS_WS[[#This Row],[No用]],Q_Stat[],30,FALSE)-Statistics100!Q$23)*5)/Statistics100!Q$30))</f>
        <v>104.49659833464055</v>
      </c>
    </row>
    <row r="62" spans="1:24" x14ac:dyDescent="0.35">
      <c r="A62" t="str">
        <f>IFERROR(Q_WS[[#This Row],[No.]],"")</f>
        <v>145</v>
      </c>
      <c r="B62" t="str">
        <f>IFERROR(Q_WS[[#This Row],[服装]],"")</f>
        <v>新年</v>
      </c>
      <c r="C62" t="str">
        <f>IFERROR(Q_WS[[#This Row],[名前]],"")</f>
        <v>牛島若利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新年牛島若利ICONIC</v>
      </c>
      <c r="I62" s="12">
        <f>IF(RZS_WS[[#This Row],[名前]]="","",(100+((VLOOKUP(RZS_WS[[#This Row],[No用]],Q_Stat[],13,FALSE)-Statistics100!B$23)*5)/Statistics100!B$30))</f>
        <v>112.99017296673935</v>
      </c>
      <c r="J62" s="12">
        <f>IF(RZS_WS[[#This Row],[名前]]="","",(100+((VLOOKUP(RZS_WS[[#This Row],[No用]],Q_Stat[],14,FALSE)-Statistics100!C$23)*5)/Statistics100!C$30))</f>
        <v>116.86224375490205</v>
      </c>
      <c r="K62" s="12">
        <f>IF(RZS_WS[[#This Row],[名前]]="","",(100+((VLOOKUP(RZS_WS[[#This Row],[No用]],Q_Stat[],15,FALSE)-Statistics100!D$23)*5)/Statistics100!D$30))</f>
        <v>103.85422714397761</v>
      </c>
      <c r="L62" s="12">
        <f>IF(RZS_WS[[#This Row],[名前]]="","",(100+((VLOOKUP(RZS_WS[[#This Row],[No用]],Q_Stat[],16,FALSE)-Statistics100!E$23)*5)/Statistics100!E$30))</f>
        <v>108.99319666928109</v>
      </c>
      <c r="M62" s="12">
        <f>IF(RZS_WS[[#This Row],[名前]]="","",(100+((VLOOKUP(RZS_WS[[#This Row],[No用]],Q_Stat[],17,FALSE)-Statistics100!F$23)*5)/Statistics100!F$30))</f>
        <v>101.6862243754902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97.002267776906308</v>
      </c>
      <c r="P62" s="12">
        <f>IF(RZS_WS[[#This Row],[名前]]="","",(100+((VLOOKUP(RZS_WS[[#This Row],[No用]],Q_Stat[],20,FALSE)-Statistics100!I$23)*5)/Statistics100!I$30))</f>
        <v>104.72142825137257</v>
      </c>
      <c r="Q62" s="12">
        <f>IF(RZS_WS[[#This Row],[名前]]="","",(100+((VLOOKUP(RZS_WS[[#This Row],[No用]],Q_Stat[],21,FALSE)-Statistics100!J$23)*5)/Statistics100!J$30))</f>
        <v>102.83995684293087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109.80117918253681</v>
      </c>
      <c r="T62" s="12">
        <f>IF(RZS_WS[[#This Row],[名前]]="","",(100+((VLOOKUP(RZS_WS[[#This Row],[No用]],Q_Stat[],26,FALSE)-Statistics100!M$23)*5)/Statistics100!M$30))</f>
        <v>109.68498102845656</v>
      </c>
      <c r="U62" s="12">
        <f>IF(RZS_WS[[#This Row],[名前]]="","",(100+((VLOOKUP(RZS_WS[[#This Row],[No用]],Q_Stat[],27,FALSE)-Statistics100!N$23)*5)/Statistics100!N$30))</f>
        <v>111.80357062843143</v>
      </c>
      <c r="V62" s="12">
        <f>IF(RZS_WS[[#This Row],[名前]]="","",(100+((VLOOKUP(RZS_WS[[#This Row],[No用]],Q_Stat[],28,FALSE)-Statistics100!O$23)*5)/Statistics100!O$30))</f>
        <v>103.85422714397761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101.12414958366014</v>
      </c>
    </row>
    <row r="63" spans="1:24" x14ac:dyDescent="0.35">
      <c r="A63" t="str">
        <f>IFERROR(Q_WS[[#This Row],[No.]],"")</f>
        <v>149</v>
      </c>
      <c r="B63" t="str">
        <f>IFERROR(Q_WS[[#This Row],[服装]],"")</f>
        <v>ユニフォーム</v>
      </c>
      <c r="C63" t="str">
        <f>IFERROR(Q_WS[[#This Row],[名前]],"")</f>
        <v>五色工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ユニフォーム五色工ICONIC</v>
      </c>
      <c r="I63" s="12">
        <f>IF(RZS_WS[[#This Row],[名前]]="","",(100+((VLOOKUP(RZS_WS[[#This Row],[No用]],Q_Stat[],13,FALSE)-Statistics100!B$23)*5)/Statistics100!B$30))</f>
        <v>100</v>
      </c>
      <c r="J63" s="12">
        <f>IF(RZS_WS[[#This Row],[名前]]="","",(100+((VLOOKUP(RZS_WS[[#This Row],[No用]],Q_Stat[],14,FALSE)-Statistics100!C$23)*5)/Statistics100!C$30))</f>
        <v>100</v>
      </c>
      <c r="K63" s="12">
        <f>IF(RZS_WS[[#This Row],[名前]]="","",(100+((VLOOKUP(RZS_WS[[#This Row],[No用]],Q_Stat[],15,FALSE)-Statistics100!D$23)*5)/Statistics100!D$30))</f>
        <v>115.41690857591044</v>
      </c>
      <c r="L63" s="12">
        <f>IF(RZS_WS[[#This Row],[名前]]="","",(100+((VLOOKUP(RZS_WS[[#This Row],[No用]],Q_Stat[],16,FALSE)-Statistics100!E$23)*5)/Statistics100!E$30))</f>
        <v>105.39591800156866</v>
      </c>
      <c r="M63" s="12">
        <f>IF(RZS_WS[[#This Row],[名前]]="","",(100+((VLOOKUP(RZS_WS[[#This Row],[No用]],Q_Stat[],17,FALSE)-Statistics100!F$23)*5)/Statistics100!F$30))</f>
        <v>101.6862243754902</v>
      </c>
      <c r="N63" s="12">
        <f>IF(RZS_WS[[#This Row],[名前]]="","",(100+((VLOOKUP(RZS_WS[[#This Row],[No用]],Q_Stat[],18,FALSE)-Statistics100!G$23)*5)/Statistics100!G$30))</f>
        <v>103.37244875098041</v>
      </c>
      <c r="O63" s="12">
        <f>IF(RZS_WS[[#This Row],[名前]]="","",(100+((VLOOKUP(RZS_WS[[#This Row],[No用]],Q_Stat[],19,FALSE)-Statistics100!H$23)*5)/Statistics100!H$30))</f>
        <v>101.49886611154685</v>
      </c>
      <c r="P63" s="12">
        <f>IF(RZS_WS[[#This Row],[名前]]="","",(100+((VLOOKUP(RZS_WS[[#This Row],[No用]],Q_Stat[],20,FALSE)-Statistics100!I$23)*5)/Statistics100!I$30))</f>
        <v>103.37244875098041</v>
      </c>
      <c r="Q63" s="12">
        <f>IF(RZS_WS[[#This Row],[名前]]="","",(100+((VLOOKUP(RZS_WS[[#This Row],[No用]],Q_Stat[],21,FALSE)-Statistics100!J$23)*5)/Statistics100!J$30))</f>
        <v>104.2599352643963</v>
      </c>
      <c r="R63" s="12">
        <f>IF(RZS_WS[[#This Row],[名前]]="","",(100+((VLOOKUP(RZS_WS[[#This Row],[No用]],Q_Stat[],22,FALSE)-Statistics100!K$23)*5)/Statistics100!K$30))</f>
        <v>100</v>
      </c>
      <c r="S63" s="12">
        <f>IF(RZS_WS[[#This Row],[名前]]="","",(100+((VLOOKUP(RZS_WS[[#This Row],[No用]],Q_Stat[],25,FALSE)-Statistics100!L$23)*5)/Statistics100!L$30))</f>
        <v>104.32094996219365</v>
      </c>
      <c r="T63" s="12">
        <f>IF(RZS_WS[[#This Row],[名前]]="","",(100+((VLOOKUP(RZS_WS[[#This Row],[No用]],Q_Stat[],26,FALSE)-Statistics100!M$23)*5)/Statistics100!M$30))</f>
        <v>100.69178435917547</v>
      </c>
      <c r="U63" s="12">
        <f>IF(RZS_WS[[#This Row],[名前]]="","",(100+((VLOOKUP(RZS_WS[[#This Row],[No用]],Q_Stat[],27,FALSE)-Statistics100!N$23)*5)/Statistics100!N$30))</f>
        <v>102.24829916732027</v>
      </c>
      <c r="V63" s="12">
        <f>IF(RZS_WS[[#This Row],[名前]]="","",(100+((VLOOKUP(RZS_WS[[#This Row],[No用]],Q_Stat[],28,FALSE)-Statistics100!O$23)*5)/Statistics100!O$30))</f>
        <v>115.41690857591044</v>
      </c>
      <c r="W63" s="12">
        <f>IF(RZS_WS[[#This Row],[名前]]="","",(100+((VLOOKUP(RZS_WS[[#This Row],[No用]],Q_Stat[],29,FALSE)-Statistics100!P$23)*5)/Statistics100!P$30))</f>
        <v>103.85422714397761</v>
      </c>
      <c r="X63" s="12">
        <f>IF(RZS_WS[[#This Row],[名前]]="","",(100+((VLOOKUP(RZS_WS[[#This Row],[No用]],Q_Stat[],30,FALSE)-Statistics100!Q$23)*5)/Statistics100!Q$30))</f>
        <v>103.37244875098041</v>
      </c>
    </row>
    <row r="64" spans="1:24" x14ac:dyDescent="0.35">
      <c r="A64" t="str">
        <f>IFERROR(Q_WS[[#This Row],[No.]],"")</f>
        <v>150</v>
      </c>
      <c r="B64" t="str">
        <f>IFERROR(Q_WS[[#This Row],[服装]],"")</f>
        <v>職業体験</v>
      </c>
      <c r="C64" t="str">
        <f>IFERROR(Q_WS[[#This Row],[名前]],"")</f>
        <v>五色工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職業体験五色工ICONIC</v>
      </c>
      <c r="I64" s="12">
        <f>IF(RZS_WS[[#This Row],[名前]]="","",(100+((VLOOKUP(RZS_WS[[#This Row],[No用]],Q_Stat[],13,FALSE)-Statistics100!B$23)*5)/Statistics100!B$30))</f>
        <v>102.99773222309369</v>
      </c>
      <c r="J64" s="12">
        <f>IF(RZS_WS[[#This Row],[名前]]="","",(100+((VLOOKUP(RZS_WS[[#This Row],[No用]],Q_Stat[],14,FALSE)-Statistics100!C$23)*5)/Statistics100!C$30))</f>
        <v>103.37244875098041</v>
      </c>
      <c r="K64" s="12">
        <f>IF(RZS_WS[[#This Row],[名前]]="","",(100+((VLOOKUP(RZS_WS[[#This Row],[No用]],Q_Stat[],15,FALSE)-Statistics100!D$23)*5)/Statistics100!D$30))</f>
        <v>119.27113571988805</v>
      </c>
      <c r="L64" s="12">
        <f>IF(RZS_WS[[#This Row],[名前]]="","",(100+((VLOOKUP(RZS_WS[[#This Row],[No用]],Q_Stat[],16,FALSE)-Statistics100!E$23)*5)/Statistics100!E$30))</f>
        <v>107.19455733542488</v>
      </c>
      <c r="M64" s="12">
        <f>IF(RZS_WS[[#This Row],[名前]]="","",(100+((VLOOKUP(RZS_WS[[#This Row],[No用]],Q_Stat[],17,FALSE)-Statistics100!F$23)*5)/Statistics100!F$30))</f>
        <v>101.6862243754902</v>
      </c>
      <c r="N64" s="12">
        <f>IF(RZS_WS[[#This Row],[名前]]="","",(100+((VLOOKUP(RZS_WS[[#This Row],[No用]],Q_Stat[],18,FALSE)-Statistics100!G$23)*5)/Statistics100!G$30))</f>
        <v>106.74489750196082</v>
      </c>
      <c r="O64" s="12">
        <f>IF(RZS_WS[[#This Row],[名前]]="","",(100+((VLOOKUP(RZS_WS[[#This Row],[No用]],Q_Stat[],19,FALSE)-Statistics100!H$23)*5)/Statistics100!H$30))</f>
        <v>102.99773222309369</v>
      </c>
      <c r="P64" s="12">
        <f>IF(RZS_WS[[#This Row],[名前]]="","",(100+((VLOOKUP(RZS_WS[[#This Row],[No用]],Q_Stat[],20,FALSE)-Statistics100!I$23)*5)/Statistics100!I$30))</f>
        <v>107.41938725215689</v>
      </c>
      <c r="Q64" s="12">
        <f>IF(RZS_WS[[#This Row],[名前]]="","",(100+((VLOOKUP(RZS_WS[[#This Row],[No用]],Q_Stat[],21,FALSE)-Statistics100!J$23)*5)/Statistics100!J$30))</f>
        <v>105.67991368586175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108.32573285398288</v>
      </c>
      <c r="T64" s="12">
        <f>IF(RZS_WS[[#This Row],[名前]]="","",(100+((VLOOKUP(RZS_WS[[#This Row],[No用]],Q_Stat[],26,FALSE)-Statistics100!M$23)*5)/Statistics100!M$30))</f>
        <v>102.76713743670187</v>
      </c>
      <c r="U64" s="12">
        <f>IF(RZS_WS[[#This Row],[名前]]="","",(100+((VLOOKUP(RZS_WS[[#This Row],[No用]],Q_Stat[],27,FALSE)-Statistics100!N$23)*5)/Statistics100!N$30))</f>
        <v>104.49659833464055</v>
      </c>
      <c r="V64" s="12">
        <f>IF(RZS_WS[[#This Row],[名前]]="","",(100+((VLOOKUP(RZS_WS[[#This Row],[No用]],Q_Stat[],28,FALSE)-Statistics100!O$23)*5)/Statistics100!O$30))</f>
        <v>119.27113571988805</v>
      </c>
      <c r="W64" s="12">
        <f>IF(RZS_WS[[#This Row],[名前]]="","",(100+((VLOOKUP(RZS_WS[[#This Row],[No用]],Q_Stat[],29,FALSE)-Statistics100!P$23)*5)/Statistics100!P$30))</f>
        <v>105.78134071596642</v>
      </c>
      <c r="X64" s="12">
        <f>IF(RZS_WS[[#This Row],[名前]]="","",(100+((VLOOKUP(RZS_WS[[#This Row],[No用]],Q_Stat[],30,FALSE)-Statistics100!Q$23)*5)/Statistics100!Q$30))</f>
        <v>107.86904708562096</v>
      </c>
    </row>
    <row r="65" spans="1:24" x14ac:dyDescent="0.35">
      <c r="A65" t="str">
        <f>IFERROR(Q_WS[[#This Row],[No.]],"")</f>
        <v>153</v>
      </c>
      <c r="B65" t="str">
        <f>IFERROR(Q_WS[[#This Row],[服装]],"")</f>
        <v>ユニフォーム</v>
      </c>
      <c r="C65" t="str">
        <f>IFERROR(Q_WS[[#This Row],[名前]],"")</f>
        <v>大平獅音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ユニフォーム大平獅音ICONIC</v>
      </c>
      <c r="I65" s="12">
        <f>IF(RZS_WS[[#This Row],[名前]]="","",(100+((VLOOKUP(RZS_WS[[#This Row],[No用]],Q_Stat[],13,FALSE)-Statistics100!B$23)*5)/Statistics100!B$30))</f>
        <v>100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115.41690857591044</v>
      </c>
      <c r="L65" s="12">
        <f>IF(RZS_WS[[#This Row],[名前]]="","",(100+((VLOOKUP(RZS_WS[[#This Row],[No用]],Q_Stat[],16,FALSE)-Statistics100!E$23)*5)/Statistics100!E$30))</f>
        <v>105.39591800156866</v>
      </c>
      <c r="M65" s="12">
        <f>IF(RZS_WS[[#This Row],[名前]]="","",(100+((VLOOKUP(RZS_WS[[#This Row],[No用]],Q_Stat[],17,FALSE)-Statistics100!F$23)*5)/Statistics100!F$30))</f>
        <v>94.941326873529391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101.49886611154685</v>
      </c>
      <c r="P65" s="12">
        <f>IF(RZS_WS[[#This Row],[名前]]="","",(100+((VLOOKUP(RZS_WS[[#This Row],[No用]],Q_Stat[],20,FALSE)-Statistics100!I$23)*5)/Statistics100!I$30))</f>
        <v>103.37244875098041</v>
      </c>
      <c r="Q65" s="12">
        <f>IF(RZS_WS[[#This Row],[名前]]="","",(100+((VLOOKUP(RZS_WS[[#This Row],[No用]],Q_Stat[],21,FALSE)-Statistics100!J$23)*5)/Statistics100!J$30))</f>
        <v>104.2599352643963</v>
      </c>
      <c r="R65" s="12">
        <f>IF(RZS_WS[[#This Row],[名前]]="","",(100+((VLOOKUP(RZS_WS[[#This Row],[No用]],Q_Stat[],22,FALSE)-Statistics100!K$23)*5)/Statistics100!K$30))</f>
        <v>96.627551249019589</v>
      </c>
      <c r="S65" s="12">
        <f>IF(RZS_WS[[#This Row],[名前]]="","",(100+((VLOOKUP(RZS_WS[[#This Row],[No用]],Q_Stat[],25,FALSE)-Statistics100!L$23)*5)/Statistics100!L$30))</f>
        <v>102.42394753976717</v>
      </c>
      <c r="T65" s="12">
        <f>IF(RZS_WS[[#This Row],[名前]]="","",(100+((VLOOKUP(RZS_WS[[#This Row],[No用]],Q_Stat[],26,FALSE)-Statistics100!M$23)*5)/Statistics100!M$30))</f>
        <v>97.924646922473599</v>
      </c>
      <c r="U65" s="12">
        <f>IF(RZS_WS[[#This Row],[名前]]="","",(100+((VLOOKUP(RZS_WS[[#This Row],[No用]],Q_Stat[],27,FALSE)-Statistics100!N$23)*5)/Statistics100!N$30))</f>
        <v>100</v>
      </c>
      <c r="V65" s="12">
        <f>IF(RZS_WS[[#This Row],[名前]]="","",(100+((VLOOKUP(RZS_WS[[#This Row],[No用]],Q_Stat[],28,FALSE)-Statistics100!O$23)*5)/Statistics100!O$30))</f>
        <v>115.41690857591044</v>
      </c>
      <c r="W65" s="12">
        <f>IF(RZS_WS[[#This Row],[名前]]="","",(100+((VLOOKUP(RZS_WS[[#This Row],[No用]],Q_Stat[],29,FALSE)-Statistics100!P$23)*5)/Statistics100!P$30))</f>
        <v>103.85422714397761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162</v>
      </c>
      <c r="B66" t="str">
        <f>IFERROR(Q_WS[[#This Row],[服装]],"")</f>
        <v>ユニフォーム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ユニフォーム宮治ICONIC</v>
      </c>
      <c r="I66" s="12">
        <f>IF(RZS_WS[[#This Row],[名前]]="","",(100+((VLOOKUP(RZS_WS[[#This Row],[No用]],Q_Stat[],13,FALSE)-Statistics100!B$23)*5)/Statistics100!B$30))</f>
        <v>103.99697629745826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107.70845428795522</v>
      </c>
      <c r="L66" s="12">
        <f>IF(RZS_WS[[#This Row],[名前]]="","",(100+((VLOOKUP(RZS_WS[[#This Row],[No用]],Q_Stat[],16,FALSE)-Statistics100!E$23)*5)/Statistics100!E$30))</f>
        <v>101.79863933385622</v>
      </c>
      <c r="M66" s="12">
        <f>IF(RZS_WS[[#This Row],[名前]]="","",(100+((VLOOKUP(RZS_WS[[#This Row],[No用]],Q_Stat[],17,FALSE)-Statistics100!F$23)*5)/Statistics100!F$30))</f>
        <v>101.6862243754902</v>
      </c>
      <c r="N66" s="12">
        <f>IF(RZS_WS[[#This Row],[名前]]="","",(100+((VLOOKUP(RZS_WS[[#This Row],[No用]],Q_Stat[],18,FALSE)-Statistics100!G$23)*5)/Statistics100!G$30))</f>
        <v>120.23469250588246</v>
      </c>
      <c r="O66" s="12">
        <f>IF(RZS_WS[[#This Row],[名前]]="","",(100+((VLOOKUP(RZS_WS[[#This Row],[No用]],Q_Stat[],19,FALSE)-Statistics100!H$23)*5)/Statistics100!H$30))</f>
        <v>102.99773222309369</v>
      </c>
      <c r="P66" s="12">
        <f>IF(RZS_WS[[#This Row],[名前]]="","",(100+((VLOOKUP(RZS_WS[[#This Row],[No用]],Q_Stat[],20,FALSE)-Statistics100!I$23)*5)/Statistics100!I$30))</f>
        <v>104.72142825137257</v>
      </c>
      <c r="Q66" s="12">
        <f>IF(RZS_WS[[#This Row],[名前]]="","",(100+((VLOOKUP(RZS_WS[[#This Row],[No用]],Q_Stat[],21,FALSE)-Statistics100!J$23)*5)/Statistics100!J$30))</f>
        <v>101.41997842146543</v>
      </c>
      <c r="R66" s="12">
        <f>IF(RZS_WS[[#This Row],[名前]]="","",(100+((VLOOKUP(RZS_WS[[#This Row],[No用]],Q_Stat[],22,FALSE)-Statistics100!K$23)*5)/Statistics100!K$30))</f>
        <v>96.627551249019589</v>
      </c>
      <c r="S66" s="12">
        <f>IF(RZS_WS[[#This Row],[名前]]="","",(100+((VLOOKUP(RZS_WS[[#This Row],[No用]],Q_Stat[],25,FALSE)-Statistics100!L$23)*5)/Statistics100!L$30))</f>
        <v>104.32094996219365</v>
      </c>
      <c r="T66" s="12">
        <f>IF(RZS_WS[[#This Row],[名前]]="","",(100+((VLOOKUP(RZS_WS[[#This Row],[No用]],Q_Stat[],26,FALSE)-Statistics100!M$23)*5)/Statistics100!M$30))</f>
        <v>103.45892179587734</v>
      </c>
      <c r="U66" s="12">
        <f>IF(RZS_WS[[#This Row],[名前]]="","",(100+((VLOOKUP(RZS_WS[[#This Row],[No用]],Q_Stat[],27,FALSE)-Statistics100!N$23)*5)/Statistics100!N$30))</f>
        <v>101.12414958366014</v>
      </c>
      <c r="V66" s="12">
        <f>IF(RZS_WS[[#This Row],[名前]]="","",(100+((VLOOKUP(RZS_WS[[#This Row],[No用]],Q_Stat[],28,FALSE)-Statistics100!O$23)*5)/Statistics100!O$30))</f>
        <v>107.70845428795522</v>
      </c>
      <c r="W66" s="12">
        <f>IF(RZS_WS[[#This Row],[名前]]="","",(100+((VLOOKUP(RZS_WS[[#This Row],[No用]],Q_Stat[],29,FALSE)-Statistics100!P$23)*5)/Statistics100!P$30))</f>
        <v>102.89067035798321</v>
      </c>
      <c r="X66" s="12">
        <f>IF(RZS_WS[[#This Row],[名前]]="","",(100+((VLOOKUP(RZS_WS[[#This Row],[No用]],Q_Stat[],30,FALSE)-Statistics100!Q$23)*5)/Statistics100!Q$30))</f>
        <v>110.11734625294123</v>
      </c>
    </row>
    <row r="67" spans="1:24" x14ac:dyDescent="0.35">
      <c r="A67" t="str">
        <f>IFERROR(Q_WS[[#This Row],[No.]],"")</f>
        <v>163</v>
      </c>
      <c r="B67" t="str">
        <f>IFERROR(Q_WS[[#This Row],[服装]],"")</f>
        <v>RPG</v>
      </c>
      <c r="C67" t="str">
        <f>IFERROR(Q_WS[[#This Row],[名前]],"")</f>
        <v>宮治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RPG宮治ICONIC</v>
      </c>
      <c r="I67" s="12">
        <f>IF(RZS_WS[[#This Row],[名前]]="","",(100+((VLOOKUP(RZS_WS[[#This Row],[No用]],Q_Stat[],13,FALSE)-Statistics100!B$23)*5)/Statistics100!B$30))</f>
        <v>106.99470852055197</v>
      </c>
      <c r="J67" s="12">
        <f>IF(RZS_WS[[#This Row],[名前]]="","",(100+((VLOOKUP(RZS_WS[[#This Row],[No用]],Q_Stat[],14,FALSE)-Statistics100!C$23)*5)/Statistics100!C$30))</f>
        <v>103.37244875098041</v>
      </c>
      <c r="K67" s="12">
        <f>IF(RZS_WS[[#This Row],[名前]]="","",(100+((VLOOKUP(RZS_WS[[#This Row],[No用]],Q_Stat[],15,FALSE)-Statistics100!D$23)*5)/Statistics100!D$30))</f>
        <v>111.56268143193283</v>
      </c>
      <c r="L67" s="12">
        <f>IF(RZS_WS[[#This Row],[名前]]="","",(100+((VLOOKUP(RZS_WS[[#This Row],[No用]],Q_Stat[],16,FALSE)-Statistics100!E$23)*5)/Statistics100!E$30))</f>
        <v>103.59727866771243</v>
      </c>
      <c r="M67" s="12">
        <f>IF(RZS_WS[[#This Row],[名前]]="","",(100+((VLOOKUP(RZS_WS[[#This Row],[No用]],Q_Stat[],17,FALSE)-Statistics100!F$23)*5)/Statistics100!F$30))</f>
        <v>101.6862243754902</v>
      </c>
      <c r="N67" s="12">
        <f>IF(RZS_WS[[#This Row],[名前]]="","",(100+((VLOOKUP(RZS_WS[[#This Row],[No用]],Q_Stat[],18,FALSE)-Statistics100!G$23)*5)/Statistics100!G$30))</f>
        <v>123.60714125686286</v>
      </c>
      <c r="O67" s="12">
        <f>IF(RZS_WS[[#This Row],[名前]]="","",(100+((VLOOKUP(RZS_WS[[#This Row],[No用]],Q_Stat[],19,FALSE)-Statistics100!H$23)*5)/Statistics100!H$30))</f>
        <v>104.49659833464055</v>
      </c>
      <c r="P67" s="12">
        <f>IF(RZS_WS[[#This Row],[名前]]="","",(100+((VLOOKUP(RZS_WS[[#This Row],[No用]],Q_Stat[],20,FALSE)-Statistics100!I$23)*5)/Statistics100!I$30))</f>
        <v>108.76836675254907</v>
      </c>
      <c r="Q67" s="12">
        <f>IF(RZS_WS[[#This Row],[名前]]="","",(100+((VLOOKUP(RZS_WS[[#This Row],[No用]],Q_Stat[],21,FALSE)-Statistics100!J$23)*5)/Statistics100!J$30))</f>
        <v>102.83995684293087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107.27184261930151</v>
      </c>
      <c r="T67" s="12">
        <f>IF(RZS_WS[[#This Row],[名前]]="","",(100+((VLOOKUP(RZS_WS[[#This Row],[No用]],Q_Stat[],26,FALSE)-Statistics100!M$23)*5)/Statistics100!M$30))</f>
        <v>105.53427487340375</v>
      </c>
      <c r="U67" s="12">
        <f>IF(RZS_WS[[#This Row],[名前]]="","",(100+((VLOOKUP(RZS_WS[[#This Row],[No用]],Q_Stat[],27,FALSE)-Statistics100!N$23)*5)/Statistics100!N$30))</f>
        <v>103.37244875098041</v>
      </c>
      <c r="V67" s="12">
        <f>IF(RZS_WS[[#This Row],[名前]]="","",(100+((VLOOKUP(RZS_WS[[#This Row],[No用]],Q_Stat[],28,FALSE)-Statistics100!O$23)*5)/Statistics100!O$30))</f>
        <v>111.56268143193283</v>
      </c>
      <c r="W67" s="12">
        <f>IF(RZS_WS[[#This Row],[名前]]="","",(100+((VLOOKUP(RZS_WS[[#This Row],[No用]],Q_Stat[],29,FALSE)-Statistics100!P$23)*5)/Statistics100!P$30))</f>
        <v>104.81778392997201</v>
      </c>
      <c r="X67" s="12">
        <f>IF(RZS_WS[[#This Row],[名前]]="","",(100+((VLOOKUP(RZS_WS[[#This Row],[No用]],Q_Stat[],30,FALSE)-Statistics100!Q$23)*5)/Statistics100!Q$30))</f>
        <v>114.61394458758177</v>
      </c>
    </row>
    <row r="68" spans="1:24" x14ac:dyDescent="0.35">
      <c r="A68" t="str">
        <f>IFERROR(Q_WS[[#This Row],[No.]],"")</f>
        <v>166</v>
      </c>
      <c r="B68" t="str">
        <f>IFERROR(Q_WS[[#This Row],[服装]],"")</f>
        <v>ユニフォーム</v>
      </c>
      <c r="C68" t="str">
        <f>IFERROR(Q_WS[[#This Row],[名前]],"")</f>
        <v>北信介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ユニフォーム北信介ICONIC</v>
      </c>
      <c r="I68" s="12">
        <f>IF(RZS_WS[[#This Row],[名前]]="","",(100+((VLOOKUP(RZS_WS[[#This Row],[No用]],Q_Stat[],13,FALSE)-Statistics100!B$23)*5)/Statistics100!B$30))</f>
        <v>101.99848814872914</v>
      </c>
      <c r="J68" s="12">
        <f>IF(RZS_WS[[#This Row],[名前]]="","",(100+((VLOOKUP(RZS_WS[[#This Row],[No用]],Q_Stat[],14,FALSE)-Statistics100!C$23)*5)/Statistics100!C$30))</f>
        <v>98.875850416339858</v>
      </c>
      <c r="K68" s="12">
        <f>IF(RZS_WS[[#This Row],[名前]]="","",(100+((VLOOKUP(RZS_WS[[#This Row],[No用]],Q_Stat[],15,FALSE)-Statistics100!D$23)*5)/Statistics100!D$30))</f>
        <v>103.85422714397761</v>
      </c>
      <c r="L68" s="12">
        <f>IF(RZS_WS[[#This Row],[名前]]="","",(100+((VLOOKUP(RZS_WS[[#This Row],[No用]],Q_Stat[],16,FALSE)-Statistics100!E$23)*5)/Statistics100!E$30))</f>
        <v>98.201360666143785</v>
      </c>
      <c r="M68" s="12">
        <f>IF(RZS_WS[[#This Row],[名前]]="","",(100+((VLOOKUP(RZS_WS[[#This Row],[No用]],Q_Stat[],17,FALSE)-Statistics100!F$23)*5)/Statistics100!F$30))</f>
        <v>94.941326873529391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105.9954644461874</v>
      </c>
      <c r="P68" s="12">
        <f>IF(RZS_WS[[#This Row],[名前]]="","",(100+((VLOOKUP(RZS_WS[[#This Row],[No用]],Q_Stat[],20,FALSE)-Statistics100!I$23)*5)/Statistics100!I$30))</f>
        <v>102.02346925058825</v>
      </c>
      <c r="Q68" s="12">
        <f>IF(RZS_WS[[#This Row],[名前]]="","",(100+((VLOOKUP(RZS_WS[[#This Row],[No用]],Q_Stat[],21,FALSE)-Statistics100!J$23)*5)/Statistics100!J$30))</f>
        <v>104.2599352643963</v>
      </c>
      <c r="R68" s="12">
        <f>IF(RZS_WS[[#This Row],[名前]]="","",(100+((VLOOKUP(RZS_WS[[#This Row],[No用]],Q_Stat[],22,FALSE)-Statistics100!K$23)*5)/Statistics100!K$30))</f>
        <v>100</v>
      </c>
      <c r="S68" s="12">
        <f>IF(RZS_WS[[#This Row],[名前]]="","",(100+((VLOOKUP(RZS_WS[[#This Row],[No用]],Q_Stat[],25,FALSE)-Statistics100!L$23)*5)/Statistics100!L$30))</f>
        <v>102.63472558670344</v>
      </c>
      <c r="T68" s="12">
        <f>IF(RZS_WS[[#This Row],[名前]]="","",(100+((VLOOKUP(RZS_WS[[#This Row],[No用]],Q_Stat[],26,FALSE)-Statistics100!M$23)*5)/Statistics100!M$30))</f>
        <v>99.308215640824528</v>
      </c>
      <c r="U68" s="12">
        <f>IF(RZS_WS[[#This Row],[名前]]="","",(100+((VLOOKUP(RZS_WS[[#This Row],[No用]],Q_Stat[],27,FALSE)-Statistics100!N$23)*5)/Statistics100!N$30))</f>
        <v>97.18962604084966</v>
      </c>
      <c r="V68" s="12">
        <f>IF(RZS_WS[[#This Row],[名前]]="","",(100+((VLOOKUP(RZS_WS[[#This Row],[No用]],Q_Stat[],28,FALSE)-Statistics100!O$23)*5)/Statistics100!O$30))</f>
        <v>103.85422714397761</v>
      </c>
      <c r="W68" s="12">
        <f>IF(RZS_WS[[#This Row],[名前]]="","",(100+((VLOOKUP(RZS_WS[[#This Row],[No用]],Q_Stat[],29,FALSE)-Statistics100!P$23)*5)/Statistics100!P$30))</f>
        <v>106.74489750196082</v>
      </c>
      <c r="X68" s="12">
        <f>IF(RZS_WS[[#This Row],[名前]]="","",(100+((VLOOKUP(RZS_WS[[#This Row],[No用]],Q_Stat[],30,FALSE)-Statistics100!Q$23)*5)/Statistics100!Q$30))</f>
        <v>102.24829916732027</v>
      </c>
    </row>
    <row r="69" spans="1:24" x14ac:dyDescent="0.35">
      <c r="A69" t="str">
        <f>IFERROR(Q_WS[[#This Row],[No.]],"")</f>
        <v>167</v>
      </c>
      <c r="B69" t="str">
        <f>IFERROR(Q_WS[[#This Row],[服装]],"")</f>
        <v>Xmas</v>
      </c>
      <c r="C69" t="str">
        <f>IFERROR(Q_WS[[#This Row],[名前]],"")</f>
        <v>北信介</v>
      </c>
      <c r="D69" t="str">
        <f>IFERROR(Q_WS[[#This Row],[じゃんけん]],"")</f>
        <v>グー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Xmas北信介ICONIC</v>
      </c>
      <c r="I69" s="12">
        <f>IF(RZS_WS[[#This Row],[名前]]="","",(100+((VLOOKUP(RZS_WS[[#This Row],[No用]],Q_Stat[],13,FALSE)-Statistics100!B$23)*5)/Statistics100!B$30))</f>
        <v>104.99622037182283</v>
      </c>
      <c r="J69" s="12">
        <f>IF(RZS_WS[[#This Row],[名前]]="","",(100+((VLOOKUP(RZS_WS[[#This Row],[No用]],Q_Stat[],14,FALSE)-Statistics100!C$23)*5)/Statistics100!C$30))</f>
        <v>102.24829916732027</v>
      </c>
      <c r="K69" s="12">
        <f>IF(RZS_WS[[#This Row],[名前]]="","",(100+((VLOOKUP(RZS_WS[[#This Row],[No用]],Q_Stat[],15,FALSE)-Statistics100!D$23)*5)/Statistics100!D$30))</f>
        <v>107.70845428795522</v>
      </c>
      <c r="L69" s="12">
        <f>IF(RZS_WS[[#This Row],[名前]]="","",(100+((VLOOKUP(RZS_WS[[#This Row],[No用]],Q_Stat[],16,FALSE)-Statistics100!E$23)*5)/Statistics100!E$30))</f>
        <v>100</v>
      </c>
      <c r="M69" s="12">
        <f>IF(RZS_WS[[#This Row],[名前]]="","",(100+((VLOOKUP(RZS_WS[[#This Row],[No用]],Q_Stat[],17,FALSE)-Statistics100!F$23)*5)/Statistics100!F$30))</f>
        <v>94.941326873529391</v>
      </c>
      <c r="N69" s="12">
        <f>IF(RZS_WS[[#This Row],[名前]]="","",(100+((VLOOKUP(RZS_WS[[#This Row],[No用]],Q_Stat[],18,FALSE)-Statistics100!G$23)*5)/Statistics100!G$30))</f>
        <v>106.74489750196082</v>
      </c>
      <c r="O69" s="12">
        <f>IF(RZS_WS[[#This Row],[名前]]="","",(100+((VLOOKUP(RZS_WS[[#This Row],[No用]],Q_Stat[],19,FALSE)-Statistics100!H$23)*5)/Statistics100!H$30))</f>
        <v>107.49433055773424</v>
      </c>
      <c r="P69" s="12">
        <f>IF(RZS_WS[[#This Row],[名前]]="","",(100+((VLOOKUP(RZS_WS[[#This Row],[No用]],Q_Stat[],20,FALSE)-Statistics100!I$23)*5)/Statistics100!I$30))</f>
        <v>106.07040775176473</v>
      </c>
      <c r="Q69" s="12">
        <f>IF(RZS_WS[[#This Row],[名前]]="","",(100+((VLOOKUP(RZS_WS[[#This Row],[No用]],Q_Stat[],21,FALSE)-Statistics100!J$23)*5)/Statistics100!J$30))</f>
        <v>105.67991368586175</v>
      </c>
      <c r="R69" s="12">
        <f>IF(RZS_WS[[#This Row],[名前]]="","",(100+((VLOOKUP(RZS_WS[[#This Row],[No用]],Q_Stat[],22,FALSE)-Statistics100!K$23)*5)/Statistics100!K$30))</f>
        <v>100</v>
      </c>
      <c r="S69" s="12">
        <f>IF(RZS_WS[[#This Row],[名前]]="","",(100+((VLOOKUP(RZS_WS[[#This Row],[No用]],Q_Stat[],25,FALSE)-Statistics100!L$23)*5)/Statistics100!L$30))</f>
        <v>105.5856182438113</v>
      </c>
      <c r="T69" s="12">
        <f>IF(RZS_WS[[#This Row],[名前]]="","",(100+((VLOOKUP(RZS_WS[[#This Row],[No用]],Q_Stat[],26,FALSE)-Statistics100!M$23)*5)/Statistics100!M$30))</f>
        <v>101.38356871835094</v>
      </c>
      <c r="U69" s="12">
        <f>IF(RZS_WS[[#This Row],[名前]]="","",(100+((VLOOKUP(RZS_WS[[#This Row],[No用]],Q_Stat[],27,FALSE)-Statistics100!N$23)*5)/Statistics100!N$30))</f>
        <v>99.437925208169929</v>
      </c>
      <c r="V69" s="12">
        <f>IF(RZS_WS[[#This Row],[名前]]="","",(100+((VLOOKUP(RZS_WS[[#This Row],[No用]],Q_Stat[],28,FALSE)-Statistics100!O$23)*5)/Statistics100!O$30))</f>
        <v>107.70845428795522</v>
      </c>
      <c r="W69" s="12">
        <f>IF(RZS_WS[[#This Row],[名前]]="","",(100+((VLOOKUP(RZS_WS[[#This Row],[No用]],Q_Stat[],29,FALSE)-Statistics100!P$23)*5)/Statistics100!P$30))</f>
        <v>108.67201107394962</v>
      </c>
      <c r="X69" s="12">
        <f>IF(RZS_WS[[#This Row],[名前]]="","",(100+((VLOOKUP(RZS_WS[[#This Row],[No用]],Q_Stat[],30,FALSE)-Statistics100!Q$23)*5)/Statistics100!Q$30))</f>
        <v>106.74489750196082</v>
      </c>
    </row>
    <row r="70" spans="1:24" x14ac:dyDescent="0.35">
      <c r="A70" t="str">
        <f>IFERROR(Q_WS[[#This Row],[No.]],"")</f>
        <v>168</v>
      </c>
      <c r="B70" t="str">
        <f>IFERROR(Q_WS[[#This Row],[服装]],"")</f>
        <v>ユニフォーム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ユニフォーム尾白アランICONIC</v>
      </c>
      <c r="I70" s="12">
        <f>IF(RZS_WS[[#This Row],[名前]]="","",(100+((VLOOKUP(RZS_WS[[#This Row],[No用]],Q_Stat[],13,FALSE)-Statistics100!B$23)*5)/Statistics100!B$30))</f>
        <v>103.99697629745826</v>
      </c>
      <c r="J70" s="12">
        <f>IF(RZS_WS[[#This Row],[名前]]="","",(100+((VLOOKUP(RZS_WS[[#This Row],[No用]],Q_Stat[],14,FALSE)-Statistics100!C$23)*5)/Statistics100!C$30))</f>
        <v>102.24829916732027</v>
      </c>
      <c r="K70" s="12">
        <f>IF(RZS_WS[[#This Row],[名前]]="","",(100+((VLOOKUP(RZS_WS[[#This Row],[No用]],Q_Stat[],15,FALSE)-Statistics100!D$23)*5)/Statistics100!D$30))</f>
        <v>96.14577285602239</v>
      </c>
      <c r="L70" s="12">
        <f>IF(RZS_WS[[#This Row],[名前]]="","",(100+((VLOOKUP(RZS_WS[[#This Row],[No用]],Q_Stat[],16,FALSE)-Statistics100!E$23)*5)/Statistics100!E$30))</f>
        <v>94.60408199843134</v>
      </c>
      <c r="M70" s="12">
        <f>IF(RZS_WS[[#This Row],[名前]]="","",(100+((VLOOKUP(RZS_WS[[#This Row],[No用]],Q_Stat[],17,FALSE)-Statistics100!F$23)*5)/Statistics100!F$30))</f>
        <v>101.6862243754902</v>
      </c>
      <c r="N70" s="12">
        <f>IF(RZS_WS[[#This Row],[名前]]="","",(100+((VLOOKUP(RZS_WS[[#This Row],[No用]],Q_Stat[],18,FALSE)-Statistics100!G$23)*5)/Statistics100!G$30))</f>
        <v>100</v>
      </c>
      <c r="O70" s="12">
        <f>IF(RZS_WS[[#This Row],[名前]]="","",(100+((VLOOKUP(RZS_WS[[#This Row],[No用]],Q_Stat[],19,FALSE)-Statistics100!H$23)*5)/Statistics100!H$30))</f>
        <v>97.002267776906308</v>
      </c>
      <c r="P70" s="12">
        <f>IF(RZS_WS[[#This Row],[名前]]="","",(100+((VLOOKUP(RZS_WS[[#This Row],[No用]],Q_Stat[],20,FALSE)-Statistics100!I$23)*5)/Statistics100!I$30))</f>
        <v>102.02346925058825</v>
      </c>
      <c r="Q70" s="12">
        <f>IF(RZS_WS[[#This Row],[名前]]="","",(100+((VLOOKUP(RZS_WS[[#This Row],[No用]],Q_Stat[],21,FALSE)-Statistics100!J$23)*5)/Statistics100!J$30))</f>
        <v>95.740064735603696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99.894610976531865</v>
      </c>
      <c r="T70" s="12">
        <f>IF(RZS_WS[[#This Row],[名前]]="","",(100+((VLOOKUP(RZS_WS[[#This Row],[No用]],Q_Stat[],26,FALSE)-Statistics100!M$23)*5)/Statistics100!M$30))</f>
        <v>103.45892179587734</v>
      </c>
      <c r="U70" s="12">
        <f>IF(RZS_WS[[#This Row],[名前]]="","",(100+((VLOOKUP(RZS_WS[[#This Row],[No用]],Q_Stat[],27,FALSE)-Statistics100!N$23)*5)/Statistics100!N$30))</f>
        <v>100</v>
      </c>
      <c r="V70" s="12">
        <f>IF(RZS_WS[[#This Row],[名前]]="","",(100+((VLOOKUP(RZS_WS[[#This Row],[No用]],Q_Stat[],28,FALSE)-Statistics100!O$23)*5)/Statistics100!O$30))</f>
        <v>96.14577285602239</v>
      </c>
      <c r="W70" s="12">
        <f>IF(RZS_WS[[#This Row],[名前]]="","",(100+((VLOOKUP(RZS_WS[[#This Row],[No用]],Q_Stat[],29,FALSE)-Statistics100!P$23)*5)/Statistics100!P$30))</f>
        <v>95.182216070027991</v>
      </c>
      <c r="X70" s="12">
        <f>IF(RZS_WS[[#This Row],[名前]]="","",(100+((VLOOKUP(RZS_WS[[#This Row],[No用]],Q_Stat[],30,FALSE)-Statistics100!Q$23)*5)/Statistics100!Q$30))</f>
        <v>101.12414958366014</v>
      </c>
    </row>
    <row r="71" spans="1:24" x14ac:dyDescent="0.35">
      <c r="A71" t="str">
        <f>IFERROR(Q_WS[[#This Row],[No.]],"")</f>
        <v>169</v>
      </c>
      <c r="B71" t="str">
        <f>IFERROR(Q_WS[[#This Row],[服装]],"")</f>
        <v>雪遊び</v>
      </c>
      <c r="C71" t="str">
        <f>IFERROR(Q_WS[[#This Row],[名前]],"")</f>
        <v>尾白アラン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雪遊び尾白アランICONIC</v>
      </c>
      <c r="I71" s="12">
        <f>IF(RZS_WS[[#This Row],[名前]]="","",(100+((VLOOKUP(RZS_WS[[#This Row],[No用]],Q_Stat[],13,FALSE)-Statistics100!B$23)*5)/Statistics100!B$30))</f>
        <v>106.99470852055197</v>
      </c>
      <c r="J71" s="12">
        <f>IF(RZS_WS[[#This Row],[名前]]="","",(100+((VLOOKUP(RZS_WS[[#This Row],[No用]],Q_Stat[],14,FALSE)-Statistics100!C$23)*5)/Statistics100!C$30))</f>
        <v>105.62074791830068</v>
      </c>
      <c r="K71" s="12">
        <f>IF(RZS_WS[[#This Row],[名前]]="","",(100+((VLOOKUP(RZS_WS[[#This Row],[No用]],Q_Stat[],15,FALSE)-Statistics100!D$23)*5)/Statistics100!D$30))</f>
        <v>100</v>
      </c>
      <c r="L71" s="12">
        <f>IF(RZS_WS[[#This Row],[名前]]="","",(100+((VLOOKUP(RZS_WS[[#This Row],[No用]],Q_Stat[],16,FALSE)-Statistics100!E$23)*5)/Statistics100!E$30))</f>
        <v>96.40272133228757</v>
      </c>
      <c r="M71" s="12">
        <f>IF(RZS_WS[[#This Row],[名前]]="","",(100+((VLOOKUP(RZS_WS[[#This Row],[No用]],Q_Stat[],17,FALSE)-Statistics100!F$23)*5)/Statistics100!F$30))</f>
        <v>101.6862243754902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98.501133888453154</v>
      </c>
      <c r="P71" s="12">
        <f>IF(RZS_WS[[#This Row],[名前]]="","",(100+((VLOOKUP(RZS_WS[[#This Row],[No用]],Q_Stat[],20,FALSE)-Statistics100!I$23)*5)/Statistics100!I$30))</f>
        <v>106.07040775176473</v>
      </c>
      <c r="Q71" s="12">
        <f>IF(RZS_WS[[#This Row],[名前]]="","",(100+((VLOOKUP(RZS_WS[[#This Row],[No用]],Q_Stat[],21,FALSE)-Statistics100!J$23)*5)/Statistics100!J$30))</f>
        <v>97.160043157069126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102.84550363363972</v>
      </c>
      <c r="T71" s="12">
        <f>IF(RZS_WS[[#This Row],[名前]]="","",(100+((VLOOKUP(RZS_WS[[#This Row],[No用]],Q_Stat[],26,FALSE)-Statistics100!M$23)*5)/Statistics100!M$30))</f>
        <v>105.53427487340375</v>
      </c>
      <c r="U71" s="12">
        <f>IF(RZS_WS[[#This Row],[名前]]="","",(100+((VLOOKUP(RZS_WS[[#This Row],[No用]],Q_Stat[],27,FALSE)-Statistics100!N$23)*5)/Statistics100!N$30))</f>
        <v>102.24829916732027</v>
      </c>
      <c r="V71" s="12">
        <f>IF(RZS_WS[[#This Row],[名前]]="","",(100+((VLOOKUP(RZS_WS[[#This Row],[No用]],Q_Stat[],28,FALSE)-Statistics100!O$23)*5)/Statistics100!O$30))</f>
        <v>100</v>
      </c>
      <c r="W71" s="12">
        <f>IF(RZS_WS[[#This Row],[名前]]="","",(100+((VLOOKUP(RZS_WS[[#This Row],[No用]],Q_Stat[],29,FALSE)-Statistics100!P$23)*5)/Statistics100!P$30))</f>
        <v>97.109329642016789</v>
      </c>
      <c r="X71" s="12">
        <f>IF(RZS_WS[[#This Row],[名前]]="","",(100+((VLOOKUP(RZS_WS[[#This Row],[No用]],Q_Stat[],30,FALSE)-Statistics100!Q$23)*5)/Statistics100!Q$30))</f>
        <v>105.62074791830068</v>
      </c>
    </row>
    <row r="72" spans="1:24" x14ac:dyDescent="0.35">
      <c r="A72" t="str">
        <f>IFERROR(Q_WS[[#This Row],[No.]],"")</f>
        <v>172</v>
      </c>
      <c r="B72" t="str">
        <f>IFERROR(Q_WS[[#This Row],[服装]],"")</f>
        <v>ユニフォーム</v>
      </c>
      <c r="C72" t="str">
        <f>IFERROR(Q_WS[[#This Row],[名前]],"")</f>
        <v>理石平介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ユニフォーム理石平介ICONIC</v>
      </c>
      <c r="I72" s="12">
        <f>IF(RZS_WS[[#This Row],[名前]]="","",(100+((VLOOKUP(RZS_WS[[#This Row],[No用]],Q_Stat[],13,FALSE)-Statistics100!B$23)*5)/Statistics100!B$30))</f>
        <v>98.001511851270863</v>
      </c>
      <c r="J72" s="12">
        <f>IF(RZS_WS[[#This Row],[名前]]="","",(100+((VLOOKUP(RZS_WS[[#This Row],[No用]],Q_Stat[],14,FALSE)-Statistics100!C$23)*5)/Statistics100!C$30))</f>
        <v>106.74489750196082</v>
      </c>
      <c r="K72" s="12">
        <f>IF(RZS_WS[[#This Row],[名前]]="","",(100+((VLOOKUP(RZS_WS[[#This Row],[No用]],Q_Stat[],15,FALSE)-Statistics100!D$23)*5)/Statistics100!D$30))</f>
        <v>92.29154571204478</v>
      </c>
      <c r="L72" s="12">
        <f>IF(RZS_WS[[#This Row],[名前]]="","",(100+((VLOOKUP(RZS_WS[[#This Row],[No用]],Q_Stat[],16,FALSE)-Statistics100!E$23)*5)/Statistics100!E$30))</f>
        <v>91.00680333071891</v>
      </c>
      <c r="M72" s="12">
        <f>IF(RZS_WS[[#This Row],[名前]]="","",(100+((VLOOKUP(RZS_WS[[#This Row],[No用]],Q_Stat[],17,FALSE)-Statistics100!F$23)*5)/Statistics100!F$30))</f>
        <v>94.941326873529391</v>
      </c>
      <c r="N72" s="12">
        <f>IF(RZS_WS[[#This Row],[名前]]="","",(100+((VLOOKUP(RZS_WS[[#This Row],[No用]],Q_Stat[],18,FALSE)-Statistics100!G$23)*5)/Statistics100!G$30))</f>
        <v>93.255102498039179</v>
      </c>
      <c r="O72" s="12">
        <f>IF(RZS_WS[[#This Row],[名前]]="","",(100+((VLOOKUP(RZS_WS[[#This Row],[No用]],Q_Stat[],19,FALSE)-Statistics100!H$23)*5)/Statistics100!H$30))</f>
        <v>97.002267776906308</v>
      </c>
      <c r="P72" s="12">
        <f>IF(RZS_WS[[#This Row],[名前]]="","",(100+((VLOOKUP(RZS_WS[[#This Row],[No用]],Q_Stat[],20,FALSE)-Statistics100!I$23)*5)/Statistics100!I$30))</f>
        <v>99.325510249803912</v>
      </c>
      <c r="Q72" s="12">
        <f>IF(RZS_WS[[#This Row],[名前]]="","",(100+((VLOOKUP(RZS_WS[[#This Row],[No用]],Q_Stat[],21,FALSE)-Statistics100!J$23)*5)/Statistics100!J$30))</f>
        <v>98.58002157853457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97.57605246023283</v>
      </c>
      <c r="T72" s="12">
        <f>IF(RZS_WS[[#This Row],[名前]]="","",(100+((VLOOKUP(RZS_WS[[#This Row],[No用]],Q_Stat[],26,FALSE)-Statistics100!M$23)*5)/Statistics100!M$30))</f>
        <v>96.541078204122655</v>
      </c>
      <c r="U72" s="12">
        <f>IF(RZS_WS[[#This Row],[名前]]="","",(100+((VLOOKUP(RZS_WS[[#This Row],[No用]],Q_Stat[],27,FALSE)-Statistics100!N$23)*5)/Statistics100!N$30))</f>
        <v>98.875850416339858</v>
      </c>
      <c r="V72" s="12">
        <f>IF(RZS_WS[[#This Row],[名前]]="","",(100+((VLOOKUP(RZS_WS[[#This Row],[No用]],Q_Stat[],28,FALSE)-Statistics100!O$23)*5)/Statistics100!O$30))</f>
        <v>92.29154571204478</v>
      </c>
      <c r="W72" s="12">
        <f>IF(RZS_WS[[#This Row],[名前]]="","",(100+((VLOOKUP(RZS_WS[[#This Row],[No用]],Q_Stat[],29,FALSE)-Statistics100!P$23)*5)/Statistics100!P$30))</f>
        <v>97.109329642016789</v>
      </c>
      <c r="X72" s="12">
        <f>IF(RZS_WS[[#This Row],[名前]]="","",(100+((VLOOKUP(RZS_WS[[#This Row],[No用]],Q_Stat[],30,FALSE)-Statistics100!Q$23)*5)/Statistics100!Q$30))</f>
        <v>96.627551249019589</v>
      </c>
    </row>
    <row r="73" spans="1:24" x14ac:dyDescent="0.35">
      <c r="A73" t="str">
        <f>IFERROR(Q_WS[[#This Row],[No.]],"")</f>
        <v>173</v>
      </c>
      <c r="B73" t="str">
        <f>IFERROR(Q_WS[[#This Row],[服装]],"")</f>
        <v>ユニフォーム</v>
      </c>
      <c r="C73" t="str">
        <f>IFERROR(Q_WS[[#This Row],[名前]],"")</f>
        <v>銀島結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ユニフォーム銀島結ICONIC</v>
      </c>
      <c r="I73" s="12">
        <f>IF(RZS_WS[[#This Row],[名前]]="","",(100+((VLOOKUP(RZS_WS[[#This Row],[No用]],Q_Stat[],13,FALSE)-Statistics100!B$23)*5)/Statistics100!B$30))</f>
        <v>99.000755925635431</v>
      </c>
      <c r="J73" s="12">
        <f>IF(RZS_WS[[#This Row],[名前]]="","",(100+((VLOOKUP(RZS_WS[[#This Row],[No用]],Q_Stat[],14,FALSE)-Statistics100!C$23)*5)/Statistics100!C$30))</f>
        <v>96.627551249019589</v>
      </c>
      <c r="K73" s="12">
        <f>IF(RZS_WS[[#This Row],[名前]]="","",(100+((VLOOKUP(RZS_WS[[#This Row],[No用]],Q_Stat[],15,FALSE)-Statistics100!D$23)*5)/Statistics100!D$30))</f>
        <v>96.14577285602239</v>
      </c>
      <c r="L73" s="12">
        <f>IF(RZS_WS[[#This Row],[名前]]="","",(100+((VLOOKUP(RZS_WS[[#This Row],[No用]],Q_Stat[],16,FALSE)-Statistics100!E$23)*5)/Statistics100!E$30))</f>
        <v>96.40272133228757</v>
      </c>
      <c r="M73" s="12">
        <f>IF(RZS_WS[[#This Row],[名前]]="","",(100+((VLOOKUP(RZS_WS[[#This Row],[No用]],Q_Stat[],17,FALSE)-Statistics100!F$23)*5)/Statistics100!F$30))</f>
        <v>101.6862243754902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100</v>
      </c>
      <c r="P73" s="12">
        <f>IF(RZS_WS[[#This Row],[名前]]="","",(100+((VLOOKUP(RZS_WS[[#This Row],[No用]],Q_Stat[],20,FALSE)-Statistics100!I$23)*5)/Statistics100!I$30))</f>
        <v>97.976530749411751</v>
      </c>
      <c r="Q73" s="12">
        <f>IF(RZS_WS[[#This Row],[名前]]="","",(100+((VLOOKUP(RZS_WS[[#This Row],[No用]],Q_Stat[],21,FALSE)-Statistics100!J$23)*5)/Statistics100!J$30))</f>
        <v>100</v>
      </c>
      <c r="R73" s="12">
        <f>IF(RZS_WS[[#This Row],[名前]]="","",(100+((VLOOKUP(RZS_WS[[#This Row],[No用]],Q_Stat[],22,FALSE)-Statistics100!K$23)*5)/Statistics100!K$30))</f>
        <v>100</v>
      </c>
      <c r="S73" s="12">
        <f>IF(RZS_WS[[#This Row],[名前]]="","",(100+((VLOOKUP(RZS_WS[[#This Row],[No用]],Q_Stat[],25,FALSE)-Statistics100!L$23)*5)/Statistics100!L$30))</f>
        <v>99.473054882659312</v>
      </c>
      <c r="T73" s="12">
        <f>IF(RZS_WS[[#This Row],[名前]]="","",(100+((VLOOKUP(RZS_WS[[#This Row],[No用]],Q_Stat[],26,FALSE)-Statistics100!M$23)*5)/Statistics100!M$30))</f>
        <v>100</v>
      </c>
      <c r="U73" s="12">
        <f>IF(RZS_WS[[#This Row],[名前]]="","",(100+((VLOOKUP(RZS_WS[[#This Row],[No用]],Q_Stat[],27,FALSE)-Statistics100!N$23)*5)/Statistics100!N$30))</f>
        <v>97.751700832679731</v>
      </c>
      <c r="V73" s="12">
        <f>IF(RZS_WS[[#This Row],[名前]]="","",(100+((VLOOKUP(RZS_WS[[#This Row],[No用]],Q_Stat[],28,FALSE)-Statistics100!O$23)*5)/Statistics100!O$30))</f>
        <v>96.14577285602239</v>
      </c>
      <c r="W73" s="12">
        <f>IF(RZS_WS[[#This Row],[名前]]="","",(100+((VLOOKUP(RZS_WS[[#This Row],[No用]],Q_Stat[],29,FALSE)-Statistics100!P$23)*5)/Statistics100!P$30))</f>
        <v>100</v>
      </c>
      <c r="X73" s="12">
        <f>IF(RZS_WS[[#This Row],[名前]]="","",(100+((VLOOKUP(RZS_WS[[#This Row],[No用]],Q_Stat[],30,FALSE)-Statistics100!Q$23)*5)/Statistics100!Q$30))</f>
        <v>97.751700832679731</v>
      </c>
    </row>
    <row r="74" spans="1:24" x14ac:dyDescent="0.35">
      <c r="A74" t="str">
        <f>IFERROR(Q_WS[[#This Row],[No.]],"")</f>
        <v>174</v>
      </c>
      <c r="B74" t="str">
        <f>IFERROR(Q_WS[[#This Row],[服装]],"")</f>
        <v>ユニフォーム</v>
      </c>
      <c r="C74" t="str">
        <f>IFERROR(Q_WS[[#This Row],[名前]],"")</f>
        <v>木兎光太郎</v>
      </c>
      <c r="D74" t="str">
        <f>IFERROR(Q_WS[[#This Row],[じゃんけん]],"")</f>
        <v>パー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ユニフォーム木兎光太郎ICONIC</v>
      </c>
      <c r="I74" s="12">
        <f>IF(RZS_WS[[#This Row],[名前]]="","",(100+((VLOOKUP(RZS_WS[[#This Row],[No用]],Q_Stat[],13,FALSE)-Statistics100!B$23)*5)/Statistics100!B$30))</f>
        <v>104.99622037182283</v>
      </c>
      <c r="J74" s="12">
        <f>IF(RZS_WS[[#This Row],[名前]]="","",(100+((VLOOKUP(RZS_WS[[#This Row],[No用]],Q_Stat[],14,FALSE)-Statistics100!C$23)*5)/Statistics100!C$30))</f>
        <v>107.86904708562096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98.201360666143785</v>
      </c>
      <c r="M74" s="12">
        <f>IF(RZS_WS[[#This Row],[名前]]="","",(100+((VLOOKUP(RZS_WS[[#This Row],[No用]],Q_Stat[],17,FALSE)-Statistics100!F$23)*5)/Statistics100!F$30))</f>
        <v>101.6862243754902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105.9954644461874</v>
      </c>
      <c r="P74" s="12">
        <f>IF(RZS_WS[[#This Row],[名前]]="","",(100+((VLOOKUP(RZS_WS[[#This Row],[No用]],Q_Stat[],20,FALSE)-Statistics100!I$23)*5)/Statistics100!I$30))</f>
        <v>103.37244875098041</v>
      </c>
      <c r="Q74" s="12">
        <f>IF(RZS_WS[[#This Row],[名前]]="","",(100+((VLOOKUP(RZS_WS[[#This Row],[No用]],Q_Stat[],21,FALSE)-Statistics100!J$23)*5)/Statistics100!J$30))</f>
        <v>104.2599352643963</v>
      </c>
      <c r="R74" s="12">
        <f>IF(RZS_WS[[#This Row],[名前]]="","",(100+((VLOOKUP(RZS_WS[[#This Row],[No用]],Q_Stat[],22,FALSE)-Statistics100!K$23)*5)/Statistics100!K$30))</f>
        <v>93.255102498039179</v>
      </c>
      <c r="S74" s="12">
        <f>IF(RZS_WS[[#This Row],[名前]]="","",(100+((VLOOKUP(RZS_WS[[#This Row],[No用]],Q_Stat[],25,FALSE)-Statistics100!L$23)*5)/Statistics100!L$30))</f>
        <v>103.68861582138483</v>
      </c>
      <c r="T74" s="12">
        <f>IF(RZS_WS[[#This Row],[名前]]="","",(100+((VLOOKUP(RZS_WS[[#This Row],[No用]],Q_Stat[],26,FALSE)-Statistics100!M$23)*5)/Statistics100!M$30))</f>
        <v>104.15070615505282</v>
      </c>
      <c r="U74" s="12">
        <f>IF(RZS_WS[[#This Row],[名前]]="","",(100+((VLOOKUP(RZS_WS[[#This Row],[No用]],Q_Stat[],27,FALSE)-Statistics100!N$23)*5)/Statistics100!N$30))</f>
        <v>103.93452354281048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106.74489750196082</v>
      </c>
      <c r="X74" s="12">
        <f>IF(RZS_WS[[#This Row],[名前]]="","",(100+((VLOOKUP(RZS_WS[[#This Row],[No用]],Q_Stat[],30,FALSE)-Statistics100!Q$23)*5)/Statistics100!Q$30))</f>
        <v>103.37244875098041</v>
      </c>
    </row>
    <row r="75" spans="1:24" x14ac:dyDescent="0.35">
      <c r="A75" t="str">
        <f>IFERROR(Q_WS[[#This Row],[No.]],"")</f>
        <v>175</v>
      </c>
      <c r="B75" t="str">
        <f>IFERROR(Q_WS[[#This Row],[服装]],"")</f>
        <v>夏祭り</v>
      </c>
      <c r="C75" t="str">
        <f>IFERROR(Q_WS[[#This Row],[名前]],"")</f>
        <v>木兎光太郎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夏祭り木兎光太郎ICONIC</v>
      </c>
      <c r="I75" s="12">
        <f>IF(RZS_WS[[#This Row],[名前]]="","",(100+((VLOOKUP(RZS_WS[[#This Row],[No用]],Q_Stat[],13,FALSE)-Statistics100!B$23)*5)/Statistics100!B$30))</f>
        <v>107.99395259491652</v>
      </c>
      <c r="J75" s="12">
        <f>IF(RZS_WS[[#This Row],[名前]]="","",(100+((VLOOKUP(RZS_WS[[#This Row],[No用]],Q_Stat[],14,FALSE)-Statistics100!C$23)*5)/Statistics100!C$30))</f>
        <v>111.24149583660136</v>
      </c>
      <c r="K75" s="12">
        <f>IF(RZS_WS[[#This Row],[名前]]="","",(100+((VLOOKUP(RZS_WS[[#This Row],[No用]],Q_Stat[],15,FALSE)-Statistics100!D$23)*5)/Statistics100!D$30))</f>
        <v>103.85422714397761</v>
      </c>
      <c r="L75" s="12">
        <f>IF(RZS_WS[[#This Row],[名前]]="","",(100+((VLOOKUP(RZS_WS[[#This Row],[No用]],Q_Stat[],16,FALSE)-Statistics100!E$23)*5)/Statistics100!E$30))</f>
        <v>100</v>
      </c>
      <c r="M75" s="12">
        <f>IF(RZS_WS[[#This Row],[名前]]="","",(100+((VLOOKUP(RZS_WS[[#This Row],[No用]],Q_Stat[],17,FALSE)-Statistics100!F$23)*5)/Statistics100!F$30))</f>
        <v>101.6862243754902</v>
      </c>
      <c r="N75" s="12">
        <f>IF(RZS_WS[[#This Row],[名前]]="","",(100+((VLOOKUP(RZS_WS[[#This Row],[No用]],Q_Stat[],18,FALSE)-Statistics100!G$23)*5)/Statistics100!G$30))</f>
        <v>106.74489750196082</v>
      </c>
      <c r="O75" s="12">
        <f>IF(RZS_WS[[#This Row],[名前]]="","",(100+((VLOOKUP(RZS_WS[[#This Row],[No用]],Q_Stat[],19,FALSE)-Statistics100!H$23)*5)/Statistics100!H$30))</f>
        <v>107.49433055773424</v>
      </c>
      <c r="P75" s="12">
        <f>IF(RZS_WS[[#This Row],[名前]]="","",(100+((VLOOKUP(RZS_WS[[#This Row],[No用]],Q_Stat[],20,FALSE)-Statistics100!I$23)*5)/Statistics100!I$30))</f>
        <v>107.41938725215689</v>
      </c>
      <c r="Q75" s="12">
        <f>IF(RZS_WS[[#This Row],[名前]]="","",(100+((VLOOKUP(RZS_WS[[#This Row],[No用]],Q_Stat[],21,FALSE)-Statistics100!J$23)*5)/Statistics100!J$30))</f>
        <v>105.67991368586175</v>
      </c>
      <c r="R75" s="12">
        <f>IF(RZS_WS[[#This Row],[名前]]="","",(100+((VLOOKUP(RZS_WS[[#This Row],[No用]],Q_Stat[],22,FALSE)-Statistics100!K$23)*5)/Statistics100!K$30))</f>
        <v>93.255102498039179</v>
      </c>
      <c r="S75" s="12">
        <f>IF(RZS_WS[[#This Row],[名前]]="","",(100+((VLOOKUP(RZS_WS[[#This Row],[No用]],Q_Stat[],25,FALSE)-Statistics100!L$23)*5)/Statistics100!L$30))</f>
        <v>106.63950847849269</v>
      </c>
      <c r="T75" s="12">
        <f>IF(RZS_WS[[#This Row],[名前]]="","",(100+((VLOOKUP(RZS_WS[[#This Row],[No用]],Q_Stat[],26,FALSE)-Statistics100!M$23)*5)/Statistics100!M$30))</f>
        <v>106.22605923257922</v>
      </c>
      <c r="U75" s="12">
        <f>IF(RZS_WS[[#This Row],[名前]]="","",(100+((VLOOKUP(RZS_WS[[#This Row],[No用]],Q_Stat[],27,FALSE)-Statistics100!N$23)*5)/Statistics100!N$30))</f>
        <v>106.18282271013075</v>
      </c>
      <c r="V75" s="12">
        <f>IF(RZS_WS[[#This Row],[名前]]="","",(100+((VLOOKUP(RZS_WS[[#This Row],[No用]],Q_Stat[],28,FALSE)-Statistics100!O$23)*5)/Statistics100!O$30))</f>
        <v>103.85422714397761</v>
      </c>
      <c r="W75" s="12">
        <f>IF(RZS_WS[[#This Row],[名前]]="","",(100+((VLOOKUP(RZS_WS[[#This Row],[No用]],Q_Stat[],29,FALSE)-Statistics100!P$23)*5)/Statistics100!P$30))</f>
        <v>108.67201107394962</v>
      </c>
      <c r="X75" s="12">
        <f>IF(RZS_WS[[#This Row],[名前]]="","",(100+((VLOOKUP(RZS_WS[[#This Row],[No用]],Q_Stat[],30,FALSE)-Statistics100!Q$23)*5)/Statistics100!Q$30))</f>
        <v>107.86904708562096</v>
      </c>
    </row>
    <row r="76" spans="1:24" x14ac:dyDescent="0.35">
      <c r="A76" t="str">
        <f>IFERROR(Q_WS[[#This Row],[No.]],"")</f>
        <v>176</v>
      </c>
      <c r="B76" t="str">
        <f>IFERROR(Q_WS[[#This Row],[服装]],"")</f>
        <v>Xmas</v>
      </c>
      <c r="C76" t="str">
        <f>IFERROR(Q_WS[[#This Row],[名前]],"")</f>
        <v>木兎光太郎</v>
      </c>
      <c r="D76" t="str">
        <f>IFERROR(Q_WS[[#This Row],[じゃんけん]],"")</f>
        <v>グー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Xmas木兎光太郎ICONIC</v>
      </c>
      <c r="I76" s="12">
        <f>IF(RZS_WS[[#This Row],[名前]]="","",(100+((VLOOKUP(RZS_WS[[#This Row],[No用]],Q_Stat[],13,FALSE)-Statistics100!B$23)*5)/Statistics100!B$30))</f>
        <v>109.99244074364566</v>
      </c>
      <c r="J76" s="12">
        <f>IF(RZS_WS[[#This Row],[名前]]="","",(100+((VLOOKUP(RZS_WS[[#This Row],[No用]],Q_Stat[],14,FALSE)-Statistics100!C$23)*5)/Statistics100!C$30))</f>
        <v>108.99319666928109</v>
      </c>
      <c r="K76" s="12">
        <f>IF(RZS_WS[[#This Row],[名前]]="","",(100+((VLOOKUP(RZS_WS[[#This Row],[No用]],Q_Stat[],15,FALSE)-Statistics100!D$23)*5)/Statistics100!D$30))</f>
        <v>103.85422714397761</v>
      </c>
      <c r="L76" s="12">
        <f>IF(RZS_WS[[#This Row],[名前]]="","",(100+((VLOOKUP(RZS_WS[[#This Row],[No用]],Q_Stat[],16,FALSE)-Statistics100!E$23)*5)/Statistics100!E$30))</f>
        <v>96.40272133228757</v>
      </c>
      <c r="M76" s="12">
        <f>IF(RZS_WS[[#This Row],[名前]]="","",(100+((VLOOKUP(RZS_WS[[#This Row],[No用]],Q_Stat[],17,FALSE)-Statistics100!F$23)*5)/Statistics100!F$30))</f>
        <v>101.6862243754902</v>
      </c>
      <c r="N76" s="12">
        <f>IF(RZS_WS[[#This Row],[名前]]="","",(100+((VLOOKUP(RZS_WS[[#This Row],[No用]],Q_Stat[],18,FALSE)-Statistics100!G$23)*5)/Statistics100!G$30))</f>
        <v>113.48979500392164</v>
      </c>
      <c r="O76" s="12">
        <f>IF(RZS_WS[[#This Row],[名前]]="","",(100+((VLOOKUP(RZS_WS[[#This Row],[No用]],Q_Stat[],19,FALSE)-Statistics100!H$23)*5)/Statistics100!H$30))</f>
        <v>107.49433055773424</v>
      </c>
      <c r="P76" s="12">
        <f>IF(RZS_WS[[#This Row],[名前]]="","",(100+((VLOOKUP(RZS_WS[[#This Row],[No用]],Q_Stat[],20,FALSE)-Statistics100!I$23)*5)/Statistics100!I$30))</f>
        <v>110.11734625294123</v>
      </c>
      <c r="Q76" s="12">
        <f>IF(RZS_WS[[#This Row],[名前]]="","",(100+((VLOOKUP(RZS_WS[[#This Row],[No用]],Q_Stat[],21,FALSE)-Statistics100!J$23)*5)/Statistics100!J$30))</f>
        <v>104.2599352643963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106.85028652542896</v>
      </c>
      <c r="T76" s="12">
        <f>IF(RZS_WS[[#This Row],[名前]]="","",(100+((VLOOKUP(RZS_WS[[#This Row],[No用]],Q_Stat[],26,FALSE)-Statistics100!M$23)*5)/Statistics100!M$30))</f>
        <v>107.60962795093016</v>
      </c>
      <c r="U76" s="12">
        <f>IF(RZS_WS[[#This Row],[名前]]="","",(100+((VLOOKUP(RZS_WS[[#This Row],[No用]],Q_Stat[],27,FALSE)-Statistics100!N$23)*5)/Statistics100!N$30))</f>
        <v>103.93452354281048</v>
      </c>
      <c r="V76" s="12">
        <f>IF(RZS_WS[[#This Row],[名前]]="","",(100+((VLOOKUP(RZS_WS[[#This Row],[No用]],Q_Stat[],28,FALSE)-Statistics100!O$23)*5)/Statistics100!O$30))</f>
        <v>103.85422714397761</v>
      </c>
      <c r="W76" s="12">
        <f>IF(RZS_WS[[#This Row],[名前]]="","",(100+((VLOOKUP(RZS_WS[[#This Row],[No用]],Q_Stat[],29,FALSE)-Statistics100!P$23)*5)/Statistics100!P$30))</f>
        <v>107.70845428795522</v>
      </c>
      <c r="X76" s="12">
        <f>IF(RZS_WS[[#This Row],[名前]]="","",(100+((VLOOKUP(RZS_WS[[#This Row],[No用]],Q_Stat[],30,FALSE)-Statistics100!Q$23)*5)/Statistics100!Q$30))</f>
        <v>112.3656454202615</v>
      </c>
    </row>
    <row r="77" spans="1:24" x14ac:dyDescent="0.35">
      <c r="A77" t="str">
        <f>IFERROR(Q_WS[[#This Row],[No.]],"")</f>
        <v>177</v>
      </c>
      <c r="B77" t="str">
        <f>IFERROR(Q_WS[[#This Row],[服装]],"")</f>
        <v>制服</v>
      </c>
      <c r="C77" t="str">
        <f>IFERROR(Q_WS[[#This Row],[名前]],"")</f>
        <v>木兎光太郎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制服木兎光太郎ICONIC</v>
      </c>
      <c r="I77" s="12">
        <f>IF(RZS_WS[[#This Row],[名前]]="","",(100+((VLOOKUP(RZS_WS[[#This Row],[No用]],Q_Stat[],13,FALSE)-Statistics100!B$23)*5)/Statistics100!B$30))</f>
        <v>110.99168481801023</v>
      </c>
      <c r="J77" s="12">
        <f>IF(RZS_WS[[#This Row],[名前]]="","",(100+((VLOOKUP(RZS_WS[[#This Row],[No用]],Q_Stat[],14,FALSE)-Statistics100!C$23)*5)/Statistics100!C$30))</f>
        <v>107.86904708562096</v>
      </c>
      <c r="K77" s="12">
        <f>IF(RZS_WS[[#This Row],[名前]]="","",(100+((VLOOKUP(RZS_WS[[#This Row],[No用]],Q_Stat[],15,FALSE)-Statistics100!D$23)*5)/Statistics100!D$30))</f>
        <v>103.85422714397761</v>
      </c>
      <c r="L77" s="12">
        <f>IF(RZS_WS[[#This Row],[名前]]="","",(100+((VLOOKUP(RZS_WS[[#This Row],[No用]],Q_Stat[],16,FALSE)-Statistics100!E$23)*5)/Statistics100!E$30))</f>
        <v>94.60408199843134</v>
      </c>
      <c r="M77" s="12">
        <f>IF(RZS_WS[[#This Row],[名前]]="","",(100+((VLOOKUP(RZS_WS[[#This Row],[No用]],Q_Stat[],17,FALSE)-Statistics100!F$23)*5)/Statistics100!F$30))</f>
        <v>101.6862243754902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111.9909288923748</v>
      </c>
      <c r="P77" s="12">
        <f>IF(RZS_WS[[#This Row],[名前]]="","",(100+((VLOOKUP(RZS_WS[[#This Row],[No用]],Q_Stat[],20,FALSE)-Statistics100!I$23)*5)/Statistics100!I$30))</f>
        <v>107.41938725215689</v>
      </c>
      <c r="Q77" s="12">
        <f>IF(RZS_WS[[#This Row],[名前]]="","",(100+((VLOOKUP(RZS_WS[[#This Row],[No用]],Q_Stat[],21,FALSE)-Statistics100!J$23)*5)/Statistics100!J$30))</f>
        <v>108.51987052879261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107.06106457236524</v>
      </c>
      <c r="T77" s="12">
        <f>IF(RZS_WS[[#This Row],[名前]]="","",(100+((VLOOKUP(RZS_WS[[#This Row],[No用]],Q_Stat[],26,FALSE)-Statistics100!M$23)*5)/Statistics100!M$30))</f>
        <v>108.30141231010562</v>
      </c>
      <c r="U77" s="12">
        <f>IF(RZS_WS[[#This Row],[名前]]="","",(100+((VLOOKUP(RZS_WS[[#This Row],[No用]],Q_Stat[],27,FALSE)-Statistics100!N$23)*5)/Statistics100!N$30))</f>
        <v>102.81037395915034</v>
      </c>
      <c r="V77" s="12">
        <f>IF(RZS_WS[[#This Row],[名前]]="","",(100+((VLOOKUP(RZS_WS[[#This Row],[No用]],Q_Stat[],28,FALSE)-Statistics100!O$23)*5)/Statistics100!O$30))</f>
        <v>103.85422714397761</v>
      </c>
      <c r="W77" s="12">
        <f>IF(RZS_WS[[#This Row],[名前]]="","",(100+((VLOOKUP(RZS_WS[[#This Row],[No用]],Q_Stat[],29,FALSE)-Statistics100!P$23)*5)/Statistics100!P$30))</f>
        <v>113.48979500392164</v>
      </c>
      <c r="X77" s="12">
        <f>IF(RZS_WS[[#This Row],[名前]]="","",(100+((VLOOKUP(RZS_WS[[#This Row],[No用]],Q_Stat[],30,FALSE)-Statistics100!Q$23)*5)/Statistics100!Q$30))</f>
        <v>107.86904708562096</v>
      </c>
    </row>
    <row r="78" spans="1:24" x14ac:dyDescent="0.35">
      <c r="A78" t="str">
        <f>IFERROR(Q_WS[[#This Row],[No.]],"")</f>
        <v>178</v>
      </c>
      <c r="B78" t="str">
        <f>IFERROR(Q_WS[[#This Row],[服装]],"")</f>
        <v>ユニフォーム</v>
      </c>
      <c r="C78" t="str">
        <f>IFERROR(Q_WS[[#This Row],[名前]],"")</f>
        <v>木葉秋紀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ユニフォーム木葉秋紀ICONIC</v>
      </c>
      <c r="I78" s="12">
        <f>IF(RZS_WS[[#This Row],[名前]]="","",(100+((VLOOKUP(RZS_WS[[#This Row],[No用]],Q_Stat[],13,FALSE)-Statistics100!B$23)*5)/Statistics100!B$30))</f>
        <v>100</v>
      </c>
      <c r="J78" s="12">
        <f>IF(RZS_WS[[#This Row],[名前]]="","",(100+((VLOOKUP(RZS_WS[[#This Row],[No用]],Q_Stat[],14,FALSE)-Statistics100!C$23)*5)/Statistics100!C$30))</f>
        <v>96.627551249019589</v>
      </c>
      <c r="K78" s="12">
        <f>IF(RZS_WS[[#This Row],[名前]]="","",(100+((VLOOKUP(RZS_WS[[#This Row],[No用]],Q_Stat[],15,FALSE)-Statistics100!D$23)*5)/Statistics100!D$30))</f>
        <v>123.12536286386566</v>
      </c>
      <c r="L78" s="12">
        <f>IF(RZS_WS[[#This Row],[名前]]="","",(100+((VLOOKUP(RZS_WS[[#This Row],[No用]],Q_Stat[],16,FALSE)-Statistics100!E$23)*5)/Statistics100!E$30))</f>
        <v>105.39591800156866</v>
      </c>
      <c r="M78" s="12">
        <f>IF(RZS_WS[[#This Row],[名前]]="","",(100+((VLOOKUP(RZS_WS[[#This Row],[No用]],Q_Stat[],17,FALSE)-Statistics100!F$23)*5)/Statistics100!F$30))</f>
        <v>101.6862243754902</v>
      </c>
      <c r="N78" s="12">
        <f>IF(RZS_WS[[#This Row],[名前]]="","",(100+((VLOOKUP(RZS_WS[[#This Row],[No用]],Q_Stat[],18,FALSE)-Statistics100!G$23)*5)/Statistics100!G$30))</f>
        <v>96.627551249019589</v>
      </c>
      <c r="O78" s="12">
        <f>IF(RZS_WS[[#This Row],[名前]]="","",(100+((VLOOKUP(RZS_WS[[#This Row],[No用]],Q_Stat[],19,FALSE)-Statistics100!H$23)*5)/Statistics100!H$30))</f>
        <v>105.9954644461874</v>
      </c>
      <c r="P78" s="12">
        <f>IF(RZS_WS[[#This Row],[名前]]="","",(100+((VLOOKUP(RZS_WS[[#This Row],[No用]],Q_Stat[],20,FALSE)-Statistics100!I$23)*5)/Statistics100!I$30))</f>
        <v>103.37244875098041</v>
      </c>
      <c r="Q78" s="12">
        <f>IF(RZS_WS[[#This Row],[名前]]="","",(100+((VLOOKUP(RZS_WS[[#This Row],[No用]],Q_Stat[],21,FALSE)-Statistics100!J$23)*5)/Statistics100!J$30))</f>
        <v>104.2599352643963</v>
      </c>
      <c r="R78" s="12">
        <f>IF(RZS_WS[[#This Row],[名前]]="","",(100+((VLOOKUP(RZS_WS[[#This Row],[No用]],Q_Stat[],22,FALSE)-Statistics100!K$23)*5)/Statistics100!K$30))</f>
        <v>100</v>
      </c>
      <c r="S78" s="12">
        <f>IF(RZS_WS[[#This Row],[名前]]="","",(100+((VLOOKUP(RZS_WS[[#This Row],[No用]],Q_Stat[],25,FALSE)-Statistics100!L$23)*5)/Statistics100!L$30))</f>
        <v>104.32094996219365</v>
      </c>
      <c r="T78" s="12">
        <f>IF(RZS_WS[[#This Row],[名前]]="","",(100+((VLOOKUP(RZS_WS[[#This Row],[No用]],Q_Stat[],26,FALSE)-Statistics100!M$23)*5)/Statistics100!M$30))</f>
        <v>100.69178435917547</v>
      </c>
      <c r="U78" s="12">
        <f>IF(RZS_WS[[#This Row],[名前]]="","",(100+((VLOOKUP(RZS_WS[[#This Row],[No用]],Q_Stat[],27,FALSE)-Statistics100!N$23)*5)/Statistics100!N$30))</f>
        <v>100.56207479183007</v>
      </c>
      <c r="V78" s="12">
        <f>IF(RZS_WS[[#This Row],[名前]]="","",(100+((VLOOKUP(RZS_WS[[#This Row],[No用]],Q_Stat[],28,FALSE)-Statistics100!O$23)*5)/Statistics100!O$30))</f>
        <v>123.12536286386566</v>
      </c>
      <c r="W78" s="12">
        <f>IF(RZS_WS[[#This Row],[名前]]="","",(100+((VLOOKUP(RZS_WS[[#This Row],[No用]],Q_Stat[],29,FALSE)-Statistics100!P$23)*5)/Statistics100!P$30))</f>
        <v>106.74489750196082</v>
      </c>
      <c r="X78" s="12">
        <f>IF(RZS_WS[[#This Row],[名前]]="","",(100+((VLOOKUP(RZS_WS[[#This Row],[No用]],Q_Stat[],30,FALSE)-Statistics100!Q$23)*5)/Statistics100!Q$30))</f>
        <v>101.12414958366014</v>
      </c>
    </row>
    <row r="79" spans="1:24" x14ac:dyDescent="0.35">
      <c r="A79" t="str">
        <f>IFERROR(Q_WS[[#This Row],[No.]],"")</f>
        <v>179</v>
      </c>
      <c r="B79" t="str">
        <f>IFERROR(Q_WS[[#This Row],[服装]],"")</f>
        <v>探偵</v>
      </c>
      <c r="C79" t="str">
        <f>IFERROR(Q_WS[[#This Row],[名前]],"")</f>
        <v>木葉秋紀</v>
      </c>
      <c r="D79" t="str">
        <f>IFERROR(Q_WS[[#This Row],[じゃんけん]],"")</f>
        <v>チョキ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探偵木葉秋紀ICONIC</v>
      </c>
      <c r="I79" s="12">
        <f>IF(RZS_WS[[#This Row],[名前]]="","",(100+((VLOOKUP(RZS_WS[[#This Row],[No用]],Q_Stat[],13,FALSE)-Statistics100!B$23)*5)/Statistics100!B$30))</f>
        <v>102.99773222309369</v>
      </c>
      <c r="J79" s="12">
        <f>IF(RZS_WS[[#This Row],[名前]]="","",(100+((VLOOKUP(RZS_WS[[#This Row],[No用]],Q_Stat[],14,FALSE)-Statistics100!C$23)*5)/Statistics100!C$30))</f>
        <v>100</v>
      </c>
      <c r="K79" s="12">
        <f>IF(RZS_WS[[#This Row],[名前]]="","",(100+((VLOOKUP(RZS_WS[[#This Row],[No用]],Q_Stat[],15,FALSE)-Statistics100!D$23)*5)/Statistics100!D$30))</f>
        <v>126.97959000784329</v>
      </c>
      <c r="L79" s="12">
        <f>IF(RZS_WS[[#This Row],[名前]]="","",(100+((VLOOKUP(RZS_WS[[#This Row],[No用]],Q_Stat[],16,FALSE)-Statistics100!E$23)*5)/Statistics100!E$30))</f>
        <v>107.19455733542488</v>
      </c>
      <c r="M79" s="12">
        <f>IF(RZS_WS[[#This Row],[名前]]="","",(100+((VLOOKUP(RZS_WS[[#This Row],[No用]],Q_Stat[],17,FALSE)-Statistics100!F$23)*5)/Statistics100!F$30))</f>
        <v>101.6862243754902</v>
      </c>
      <c r="N79" s="12">
        <f>IF(RZS_WS[[#This Row],[名前]]="","",(100+((VLOOKUP(RZS_WS[[#This Row],[No用]],Q_Stat[],18,FALSE)-Statistics100!G$23)*5)/Statistics100!G$30))</f>
        <v>100</v>
      </c>
      <c r="O79" s="12">
        <f>IF(RZS_WS[[#This Row],[名前]]="","",(100+((VLOOKUP(RZS_WS[[#This Row],[No用]],Q_Stat[],19,FALSE)-Statistics100!H$23)*5)/Statistics100!H$30))</f>
        <v>107.49433055773424</v>
      </c>
      <c r="P79" s="12">
        <f>IF(RZS_WS[[#This Row],[名前]]="","",(100+((VLOOKUP(RZS_WS[[#This Row],[No用]],Q_Stat[],20,FALSE)-Statistics100!I$23)*5)/Statistics100!I$30))</f>
        <v>107.41938725215689</v>
      </c>
      <c r="Q79" s="12">
        <f>IF(RZS_WS[[#This Row],[名前]]="","",(100+((VLOOKUP(RZS_WS[[#This Row],[No用]],Q_Stat[],21,FALSE)-Statistics100!J$23)*5)/Statistics100!J$30))</f>
        <v>105.67991368586175</v>
      </c>
      <c r="R79" s="12">
        <f>IF(RZS_WS[[#This Row],[名前]]="","",(100+((VLOOKUP(RZS_WS[[#This Row],[No用]],Q_Stat[],22,FALSE)-Statistics100!K$23)*5)/Statistics100!K$30))</f>
        <v>100</v>
      </c>
      <c r="S79" s="12">
        <f>IF(RZS_WS[[#This Row],[名前]]="","",(100+((VLOOKUP(RZS_WS[[#This Row],[No用]],Q_Stat[],25,FALSE)-Statistics100!L$23)*5)/Statistics100!L$30))</f>
        <v>107.27184261930151</v>
      </c>
      <c r="T79" s="12">
        <f>IF(RZS_WS[[#This Row],[名前]]="","",(100+((VLOOKUP(RZS_WS[[#This Row],[No用]],Q_Stat[],26,FALSE)-Statistics100!M$23)*5)/Statistics100!M$30))</f>
        <v>102.76713743670187</v>
      </c>
      <c r="U79" s="12">
        <f>IF(RZS_WS[[#This Row],[名前]]="","",(100+((VLOOKUP(RZS_WS[[#This Row],[No用]],Q_Stat[],27,FALSE)-Statistics100!N$23)*5)/Statistics100!N$30))</f>
        <v>102.81037395915034</v>
      </c>
      <c r="V79" s="12">
        <f>IF(RZS_WS[[#This Row],[名前]]="","",(100+((VLOOKUP(RZS_WS[[#This Row],[No用]],Q_Stat[],28,FALSE)-Statistics100!O$23)*5)/Statistics100!O$30))</f>
        <v>126.97959000784329</v>
      </c>
      <c r="W79" s="12">
        <f>IF(RZS_WS[[#This Row],[名前]]="","",(100+((VLOOKUP(RZS_WS[[#This Row],[No用]],Q_Stat[],29,FALSE)-Statistics100!P$23)*5)/Statistics100!P$30))</f>
        <v>108.67201107394962</v>
      </c>
      <c r="X79" s="12">
        <f>IF(RZS_WS[[#This Row],[名前]]="","",(100+((VLOOKUP(RZS_WS[[#This Row],[No用]],Q_Stat[],30,FALSE)-Statistics100!Q$23)*5)/Statistics100!Q$30))</f>
        <v>105.62074791830068</v>
      </c>
    </row>
    <row r="80" spans="1:24" x14ac:dyDescent="0.35">
      <c r="A80" t="str">
        <f>IFERROR(Q_WS[[#This Row],[No.]],"")</f>
        <v>180</v>
      </c>
      <c r="B80" t="str">
        <f>IFERROR(Q_WS[[#This Row],[服装]],"")</f>
        <v>ユニフォーム</v>
      </c>
      <c r="C80" t="str">
        <f>IFERROR(Q_WS[[#This Row],[名前]],"")</f>
        <v>猿杙大和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ユニフォーム猿杙大和ICONIC</v>
      </c>
      <c r="I80" s="12">
        <f>IF(RZS_WS[[#This Row],[名前]]="","",(100+((VLOOKUP(RZS_WS[[#This Row],[No用]],Q_Stat[],13,FALSE)-Statistics100!B$23)*5)/Statistics100!B$30))</f>
        <v>100</v>
      </c>
      <c r="J80" s="12">
        <f>IF(RZS_WS[[#This Row],[名前]]="","",(100+((VLOOKUP(RZS_WS[[#This Row],[No用]],Q_Stat[],14,FALSE)-Statistics100!C$23)*5)/Statistics100!C$30))</f>
        <v>98.875850416339858</v>
      </c>
      <c r="K80" s="12">
        <f>IF(RZS_WS[[#This Row],[名前]]="","",(100+((VLOOKUP(RZS_WS[[#This Row],[No用]],Q_Stat[],15,FALSE)-Statistics100!D$23)*5)/Statistics100!D$30))</f>
        <v>107.70845428795522</v>
      </c>
      <c r="L80" s="12">
        <f>IF(RZS_WS[[#This Row],[名前]]="","",(100+((VLOOKUP(RZS_WS[[#This Row],[No用]],Q_Stat[],16,FALSE)-Statistics100!E$23)*5)/Statistics100!E$30))</f>
        <v>101.79863933385622</v>
      </c>
      <c r="M80" s="12">
        <f>IF(RZS_WS[[#This Row],[名前]]="","",(100+((VLOOKUP(RZS_WS[[#This Row],[No用]],Q_Stat[],17,FALSE)-Statistics100!F$23)*5)/Statistics100!F$30))</f>
        <v>94.941326873529391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105.9954644461874</v>
      </c>
      <c r="P80" s="12">
        <f>IF(RZS_WS[[#This Row],[名前]]="","",(100+((VLOOKUP(RZS_WS[[#This Row],[No用]],Q_Stat[],20,FALSE)-Statistics100!I$23)*5)/Statistics100!I$30))</f>
        <v>106.07040775176473</v>
      </c>
      <c r="Q80" s="12">
        <f>IF(RZS_WS[[#This Row],[名前]]="","",(100+((VLOOKUP(RZS_WS[[#This Row],[No用]],Q_Stat[],21,FALSE)-Statistics100!J$23)*5)/Statistics100!J$30))</f>
        <v>100</v>
      </c>
      <c r="R80" s="12">
        <f>IF(RZS_WS[[#This Row],[名前]]="","",(100+((VLOOKUP(RZS_WS[[#This Row],[No用]],Q_Stat[],22,FALSE)-Statistics100!K$23)*5)/Statistics100!K$30))</f>
        <v>103.37244875098041</v>
      </c>
      <c r="S80" s="12">
        <f>IF(RZS_WS[[#This Row],[名前]]="","",(100+((VLOOKUP(RZS_WS[[#This Row],[No用]],Q_Stat[],25,FALSE)-Statistics100!L$23)*5)/Statistics100!L$30))</f>
        <v>104.53172800912992</v>
      </c>
      <c r="T80" s="12">
        <f>IF(RZS_WS[[#This Row],[名前]]="","",(100+((VLOOKUP(RZS_WS[[#This Row],[No用]],Q_Stat[],26,FALSE)-Statistics100!M$23)*5)/Statistics100!M$30))</f>
        <v>97.924646922473599</v>
      </c>
      <c r="U80" s="12">
        <f>IF(RZS_WS[[#This Row],[名前]]="","",(100+((VLOOKUP(RZS_WS[[#This Row],[No用]],Q_Stat[],27,FALSE)-Statistics100!N$23)*5)/Statistics100!N$30))</f>
        <v>98.313775624509802</v>
      </c>
      <c r="V80" s="12">
        <f>IF(RZS_WS[[#This Row],[名前]]="","",(100+((VLOOKUP(RZS_WS[[#This Row],[No用]],Q_Stat[],28,FALSE)-Statistics100!O$23)*5)/Statistics100!O$30))</f>
        <v>107.70845428795522</v>
      </c>
      <c r="W80" s="12">
        <f>IF(RZS_WS[[#This Row],[名前]]="","",(100+((VLOOKUP(RZS_WS[[#This Row],[No用]],Q_Stat[],29,FALSE)-Statistics100!P$23)*5)/Statistics100!P$30))</f>
        <v>103.85422714397761</v>
      </c>
      <c r="X80" s="12">
        <f>IF(RZS_WS[[#This Row],[名前]]="","",(100+((VLOOKUP(RZS_WS[[#This Row],[No用]],Q_Stat[],30,FALSE)-Statistics100!Q$23)*5)/Statistics100!Q$30))</f>
        <v>108.99319666928109</v>
      </c>
    </row>
    <row r="81" spans="1:24" x14ac:dyDescent="0.35">
      <c r="A81" t="str">
        <f>IFERROR(Q_WS[[#This Row],[No.]],"")</f>
        <v>188</v>
      </c>
      <c r="B81" t="str">
        <f>IFERROR(Q_WS[[#This Row],[服装]],"")</f>
        <v>ユニフォーム</v>
      </c>
      <c r="C81" t="str">
        <f>IFERROR(Q_WS[[#This Row],[名前]],"")</f>
        <v>姫川葵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ユニフォーム姫川葵ICONIC</v>
      </c>
      <c r="I81" s="12">
        <f>IF(RZS_WS[[#This Row],[名前]]="","",(100+((VLOOKUP(RZS_WS[[#This Row],[No用]],Q_Stat[],13,FALSE)-Statistics100!B$23)*5)/Statistics100!B$30))</f>
        <v>95.00377962817717</v>
      </c>
      <c r="J81" s="12">
        <f>IF(RZS_WS[[#This Row],[名前]]="","",(100+((VLOOKUP(RZS_WS[[#This Row],[No用]],Q_Stat[],14,FALSE)-Statistics100!C$23)*5)/Statistics100!C$30))</f>
        <v>105.62074791830068</v>
      </c>
      <c r="K81" s="12">
        <f>IF(RZS_WS[[#This Row],[名前]]="","",(100+((VLOOKUP(RZS_WS[[#This Row],[No用]],Q_Stat[],15,FALSE)-Statistics100!D$23)*5)/Statistics100!D$30))</f>
        <v>103.85422714397761</v>
      </c>
      <c r="L81" s="12">
        <f>IF(RZS_WS[[#This Row],[名前]]="","",(100+((VLOOKUP(RZS_WS[[#This Row],[No用]],Q_Stat[],16,FALSE)-Statistics100!E$23)*5)/Statistics100!E$30))</f>
        <v>105.39591800156866</v>
      </c>
      <c r="M81" s="12">
        <f>IF(RZS_WS[[#This Row],[名前]]="","",(100+((VLOOKUP(RZS_WS[[#This Row],[No用]],Q_Stat[],17,FALSE)-Statistics100!F$23)*5)/Statistics100!F$30))</f>
        <v>101.6862243754902</v>
      </c>
      <c r="N81" s="12">
        <f>IF(RZS_WS[[#This Row],[名前]]="","",(100+((VLOOKUP(RZS_WS[[#This Row],[No用]],Q_Stat[],18,FALSE)-Statistics100!G$23)*5)/Statistics100!G$30))</f>
        <v>89.882653747058768</v>
      </c>
      <c r="O81" s="12">
        <f>IF(RZS_WS[[#This Row],[名前]]="","",(100+((VLOOKUP(RZS_WS[[#This Row],[No用]],Q_Stat[],19,FALSE)-Statistics100!H$23)*5)/Statistics100!H$30))</f>
        <v>98.501133888453154</v>
      </c>
      <c r="P81" s="12">
        <f>IF(RZS_WS[[#This Row],[名前]]="","",(100+((VLOOKUP(RZS_WS[[#This Row],[No用]],Q_Stat[],20,FALSE)-Statistics100!I$23)*5)/Statistics100!I$30))</f>
        <v>95.278571748627428</v>
      </c>
      <c r="Q81" s="12">
        <f>IF(RZS_WS[[#This Row],[名前]]="","",(100+((VLOOKUP(RZS_WS[[#This Row],[No用]],Q_Stat[],21,FALSE)-Statistics100!J$23)*5)/Statistics100!J$30))</f>
        <v>100</v>
      </c>
      <c r="R81" s="12">
        <f>IF(RZS_WS[[#This Row],[名前]]="","",(100+((VLOOKUP(RZS_WS[[#This Row],[No用]],Q_Stat[],22,FALSE)-Statistics100!K$23)*5)/Statistics100!K$30))</f>
        <v>96.627551249019589</v>
      </c>
      <c r="S81" s="12">
        <f>IF(RZS_WS[[#This Row],[名前]]="","",(100+((VLOOKUP(RZS_WS[[#This Row],[No用]],Q_Stat[],25,FALSE)-Statistics100!L$23)*5)/Statistics100!L$30))</f>
        <v>99.473054882659312</v>
      </c>
      <c r="T81" s="12">
        <f>IF(RZS_WS[[#This Row],[名前]]="","",(100+((VLOOKUP(RZS_WS[[#This Row],[No用]],Q_Stat[],26,FALSE)-Statistics100!M$23)*5)/Statistics100!M$30))</f>
        <v>97.232862563298127</v>
      </c>
      <c r="U81" s="12">
        <f>IF(RZS_WS[[#This Row],[名前]]="","",(100+((VLOOKUP(RZS_WS[[#This Row],[No用]],Q_Stat[],27,FALSE)-Statistics100!N$23)*5)/Statistics100!N$30))</f>
        <v>105.05867312647061</v>
      </c>
      <c r="V81" s="12">
        <f>IF(RZS_WS[[#This Row],[名前]]="","",(100+((VLOOKUP(RZS_WS[[#This Row],[No用]],Q_Stat[],28,FALSE)-Statistics100!O$23)*5)/Statistics100!O$30))</f>
        <v>103.85422714397761</v>
      </c>
      <c r="W81" s="12">
        <f>IF(RZS_WS[[#This Row],[名前]]="","",(100+((VLOOKUP(RZS_WS[[#This Row],[No用]],Q_Stat[],29,FALSE)-Statistics100!P$23)*5)/Statistics100!P$30))</f>
        <v>99.036443214005601</v>
      </c>
      <c r="X81" s="12">
        <f>IF(RZS_WS[[#This Row],[名前]]="","",(100+((VLOOKUP(RZS_WS[[#This Row],[No用]],Q_Stat[],30,FALSE)-Statistics100!Q$23)*5)/Statistics100!Q$30))</f>
        <v>92.130952914379037</v>
      </c>
    </row>
    <row r="82" spans="1:24" x14ac:dyDescent="0.35">
      <c r="A82" t="str">
        <f>IFERROR(Q_WS[[#This Row],[No.]],"")</f>
        <v>192</v>
      </c>
      <c r="B82" t="str">
        <f>IFERROR(Q_WS[[#This Row],[服装]],"")</f>
        <v>ユニフォーム</v>
      </c>
      <c r="C82" t="str">
        <f>IFERROR(Q_WS[[#This Row],[名前]],"")</f>
        <v>丸山一喜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ユニフォーム丸山一喜ICONIC</v>
      </c>
      <c r="I82" s="12">
        <f>IF(RZS_WS[[#This Row],[名前]]="","",(100+((VLOOKUP(RZS_WS[[#This Row],[No用]],Q_Stat[],13,FALSE)-Statistics100!B$23)*5)/Statistics100!B$30))</f>
        <v>97.002267776906308</v>
      </c>
      <c r="J82" s="12">
        <f>IF(RZS_WS[[#This Row],[名前]]="","",(100+((VLOOKUP(RZS_WS[[#This Row],[No用]],Q_Stat[],14,FALSE)-Statistics100!C$23)*5)/Statistics100!C$30))</f>
        <v>96.627551249019589</v>
      </c>
      <c r="K82" s="12">
        <f>IF(RZS_WS[[#This Row],[名前]]="","",(100+((VLOOKUP(RZS_WS[[#This Row],[No用]],Q_Stat[],15,FALSE)-Statistics100!D$23)*5)/Statistics100!D$30))</f>
        <v>96.14577285602239</v>
      </c>
      <c r="L82" s="12">
        <f>IF(RZS_WS[[#This Row],[名前]]="","",(100+((VLOOKUP(RZS_WS[[#This Row],[No用]],Q_Stat[],16,FALSE)-Statistics100!E$23)*5)/Statistics100!E$30))</f>
        <v>98.201360666143785</v>
      </c>
      <c r="M82" s="12">
        <f>IF(RZS_WS[[#This Row],[名前]]="","",(100+((VLOOKUP(RZS_WS[[#This Row],[No用]],Q_Stat[],17,FALSE)-Statistics100!F$23)*5)/Statistics100!F$30))</f>
        <v>101.6862243754902</v>
      </c>
      <c r="N82" s="12">
        <f>IF(RZS_WS[[#This Row],[名前]]="","",(100+((VLOOKUP(RZS_WS[[#This Row],[No用]],Q_Stat[],18,FALSE)-Statistics100!G$23)*5)/Statistics100!G$30))</f>
        <v>106.74489750196082</v>
      </c>
      <c r="O82" s="12">
        <f>IF(RZS_WS[[#This Row],[名前]]="","",(100+((VLOOKUP(RZS_WS[[#This Row],[No用]],Q_Stat[],19,FALSE)-Statistics100!H$23)*5)/Statistics100!H$30))</f>
        <v>100</v>
      </c>
      <c r="P82" s="12">
        <f>IF(RZS_WS[[#This Row],[名前]]="","",(100+((VLOOKUP(RZS_WS[[#This Row],[No用]],Q_Stat[],20,FALSE)-Statistics100!I$23)*5)/Statistics100!I$30))</f>
        <v>99.325510249803912</v>
      </c>
      <c r="Q82" s="12">
        <f>IF(RZS_WS[[#This Row],[名前]]="","",(100+((VLOOKUP(RZS_WS[[#This Row],[No用]],Q_Stat[],21,FALSE)-Statistics100!J$23)*5)/Statistics100!J$30))</f>
        <v>98.58002157853457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99.683832929595582</v>
      </c>
      <c r="T82" s="12">
        <f>IF(RZS_WS[[#This Row],[名前]]="","",(100+((VLOOKUP(RZS_WS[[#This Row],[No用]],Q_Stat[],26,FALSE)-Statistics100!M$23)*5)/Statistics100!M$30))</f>
        <v>98.616431281649056</v>
      </c>
      <c r="U82" s="12">
        <f>IF(RZS_WS[[#This Row],[名前]]="","",(100+((VLOOKUP(RZS_WS[[#This Row],[No用]],Q_Stat[],27,FALSE)-Statistics100!N$23)*5)/Statistics100!N$30))</f>
        <v>98.313775624509802</v>
      </c>
      <c r="V82" s="12">
        <f>IF(RZS_WS[[#This Row],[名前]]="","",(100+((VLOOKUP(RZS_WS[[#This Row],[No用]],Q_Stat[],28,FALSE)-Statistics100!O$23)*5)/Statistics100!O$30))</f>
        <v>96.14577285602239</v>
      </c>
      <c r="W82" s="12">
        <f>IF(RZS_WS[[#This Row],[名前]]="","",(100+((VLOOKUP(RZS_WS[[#This Row],[No用]],Q_Stat[],29,FALSE)-Statistics100!P$23)*5)/Statistics100!P$30))</f>
        <v>99.036443214005601</v>
      </c>
      <c r="X82" s="12">
        <f>IF(RZS_WS[[#This Row],[名前]]="","",(100+((VLOOKUP(RZS_WS[[#This Row],[No用]],Q_Stat[],30,FALSE)-Statistics100!Q$23)*5)/Statistics100!Q$30))</f>
        <v>101.12414958366014</v>
      </c>
    </row>
    <row r="83" spans="1:24" x14ac:dyDescent="0.35">
      <c r="A83" t="str">
        <f>IFERROR(Q_WS[[#This Row],[No.]],"")</f>
        <v>193</v>
      </c>
      <c r="B83" t="str">
        <f>IFERROR(Q_WS[[#This Row],[服装]],"")</f>
        <v>ユニフォーム</v>
      </c>
      <c r="C83" t="str">
        <f>IFERROR(Q_WS[[#This Row],[名前]],"")</f>
        <v>舞子侑志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椿原</v>
      </c>
      <c r="G83" t="str">
        <f>IFERROR(Q_WS[[#This Row],[レアリティ]],"")</f>
        <v>ICONIC</v>
      </c>
      <c r="H83" t="str">
        <f>IFERROR(Q_WS[[#This Row],[No用]],"")</f>
        <v>ユニフォーム舞子侑志ICONIC</v>
      </c>
      <c r="I83" s="12">
        <f>IF(RZS_WS[[#This Row],[名前]]="","",(100+((VLOOKUP(RZS_WS[[#This Row],[No用]],Q_Stat[],13,FALSE)-Statistics100!B$23)*5)/Statistics100!B$30))</f>
        <v>97.002267776906308</v>
      </c>
      <c r="J83" s="12">
        <f>IF(RZS_WS[[#This Row],[名前]]="","",(100+((VLOOKUP(RZS_WS[[#This Row],[No用]],Q_Stat[],14,FALSE)-Statistics100!C$23)*5)/Statistics100!C$30))</f>
        <v>92.130952914379037</v>
      </c>
      <c r="K83" s="12">
        <f>IF(RZS_WS[[#This Row],[名前]]="","",(100+((VLOOKUP(RZS_WS[[#This Row],[No用]],Q_Stat[],15,FALSE)-Statistics100!D$23)*5)/Statistics100!D$30))</f>
        <v>92.29154571204478</v>
      </c>
      <c r="L83" s="12">
        <f>IF(RZS_WS[[#This Row],[名前]]="","",(100+((VLOOKUP(RZS_WS[[#This Row],[No用]],Q_Stat[],16,FALSE)-Statistics100!E$23)*5)/Statistics100!E$30))</f>
        <v>98.201360666143785</v>
      </c>
      <c r="M83" s="12">
        <f>IF(RZS_WS[[#This Row],[名前]]="","",(100+((VLOOKUP(RZS_WS[[#This Row],[No用]],Q_Stat[],17,FALSE)-Statistics100!F$23)*5)/Statistics100!F$30))</f>
        <v>94.941326873529391</v>
      </c>
      <c r="N83" s="12">
        <f>IF(RZS_WS[[#This Row],[名前]]="","",(100+((VLOOKUP(RZS_WS[[#This Row],[No用]],Q_Stat[],18,FALSE)-Statistics100!G$23)*5)/Statistics100!G$30))</f>
        <v>103.37244875098041</v>
      </c>
      <c r="O83" s="12">
        <f>IF(RZS_WS[[#This Row],[名前]]="","",(100+((VLOOKUP(RZS_WS[[#This Row],[No用]],Q_Stat[],19,FALSE)-Statistics100!H$23)*5)/Statistics100!H$30))</f>
        <v>101.49886611154685</v>
      </c>
      <c r="P83" s="12">
        <f>IF(RZS_WS[[#This Row],[名前]]="","",(100+((VLOOKUP(RZS_WS[[#This Row],[No用]],Q_Stat[],20,FALSE)-Statistics100!I$23)*5)/Statistics100!I$30))</f>
        <v>97.976530749411751</v>
      </c>
      <c r="Q83" s="12">
        <f>IF(RZS_WS[[#This Row],[名前]]="","",(100+((VLOOKUP(RZS_WS[[#This Row],[No用]],Q_Stat[],21,FALSE)-Statistics100!J$23)*5)/Statistics100!J$30))</f>
        <v>98.58002157853457</v>
      </c>
      <c r="R83" s="12">
        <f>IF(RZS_WS[[#This Row],[名前]]="","",(100+((VLOOKUP(RZS_WS[[#This Row],[No用]],Q_Stat[],22,FALSE)-Statistics100!K$23)*5)/Statistics100!K$30))</f>
        <v>103.37244875098041</v>
      </c>
      <c r="S83" s="12">
        <f>IF(RZS_WS[[#This Row],[名前]]="","",(100+((VLOOKUP(RZS_WS[[#This Row],[No用]],Q_Stat[],25,FALSE)-Statistics100!L$23)*5)/Statistics100!L$30))</f>
        <v>98.629942694914206</v>
      </c>
      <c r="T83" s="12">
        <f>IF(RZS_WS[[#This Row],[名前]]="","",(100+((VLOOKUP(RZS_WS[[#This Row],[No用]],Q_Stat[],26,FALSE)-Statistics100!M$23)*5)/Statistics100!M$30))</f>
        <v>95.849293844947184</v>
      </c>
      <c r="U83" s="12">
        <f>IF(RZS_WS[[#This Row],[名前]]="","",(100+((VLOOKUP(RZS_WS[[#This Row],[No用]],Q_Stat[],27,FALSE)-Statistics100!N$23)*5)/Statistics100!N$30))</f>
        <v>93.81717728986925</v>
      </c>
      <c r="V83" s="12">
        <f>IF(RZS_WS[[#This Row],[名前]]="","",(100+((VLOOKUP(RZS_WS[[#This Row],[No用]],Q_Stat[],28,FALSE)-Statistics100!O$23)*5)/Statistics100!O$30))</f>
        <v>92.29154571204478</v>
      </c>
      <c r="W83" s="12">
        <f>IF(RZS_WS[[#This Row],[名前]]="","",(100+((VLOOKUP(RZS_WS[[#This Row],[No用]],Q_Stat[],29,FALSE)-Statistics100!P$23)*5)/Statistics100!P$30))</f>
        <v>100</v>
      </c>
      <c r="X83" s="12">
        <f>IF(RZS_WS[[#This Row],[名前]]="","",(100+((VLOOKUP(RZS_WS[[#This Row],[No用]],Q_Stat[],30,FALSE)-Statistics100!Q$23)*5)/Statistics100!Q$30))</f>
        <v>98.875850416339858</v>
      </c>
    </row>
    <row r="84" spans="1:24" x14ac:dyDescent="0.35">
      <c r="A84" t="str">
        <f>IFERROR(Q_WS[[#This Row],[No.]],"")</f>
        <v>194</v>
      </c>
      <c r="B84" t="str">
        <f>IFERROR(Q_WS[[#This Row],[服装]],"")</f>
        <v>ユニフォーム</v>
      </c>
      <c r="C84" t="str">
        <f>IFERROR(Q_WS[[#This Row],[名前]],"")</f>
        <v>寺泊基希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椿原</v>
      </c>
      <c r="G84" t="str">
        <f>IFERROR(Q_WS[[#This Row],[レアリティ]],"")</f>
        <v>ICONIC</v>
      </c>
      <c r="H84" t="str">
        <f>IFERROR(Q_WS[[#This Row],[No用]],"")</f>
        <v>ユニフォーム寺泊基希ICONIC</v>
      </c>
      <c r="I84" s="12">
        <f>IF(RZS_WS[[#This Row],[名前]]="","",(100+((VLOOKUP(RZS_WS[[#This Row],[No用]],Q_Stat[],13,FALSE)-Statistics100!B$23)*5)/Statistics100!B$30))</f>
        <v>103.99697629745826</v>
      </c>
      <c r="J84" s="12">
        <f>IF(RZS_WS[[#This Row],[名前]]="","",(100+((VLOOKUP(RZS_WS[[#This Row],[No用]],Q_Stat[],14,FALSE)-Statistics100!C$23)*5)/Statistics100!C$30))</f>
        <v>95.503401665359448</v>
      </c>
      <c r="K84" s="12">
        <f>IF(RZS_WS[[#This Row],[名前]]="","",(100+((VLOOKUP(RZS_WS[[#This Row],[No用]],Q_Stat[],15,FALSE)-Statistics100!D$23)*5)/Statistics100!D$30))</f>
        <v>92.29154571204478</v>
      </c>
      <c r="L84" s="12">
        <f>IF(RZS_WS[[#This Row],[名前]]="","",(100+((VLOOKUP(RZS_WS[[#This Row],[No用]],Q_Stat[],16,FALSE)-Statistics100!E$23)*5)/Statistics100!E$30))</f>
        <v>98.201360666143785</v>
      </c>
      <c r="M84" s="12">
        <f>IF(RZS_WS[[#This Row],[名前]]="","",(100+((VLOOKUP(RZS_WS[[#This Row],[No用]],Q_Stat[],17,FALSE)-Statistics100!F$23)*5)/Statistics100!F$30))</f>
        <v>94.941326873529391</v>
      </c>
      <c r="N84" s="12">
        <f>IF(RZS_WS[[#This Row],[名前]]="","",(100+((VLOOKUP(RZS_WS[[#This Row],[No用]],Q_Stat[],18,FALSE)-Statistics100!G$23)*5)/Statistics100!G$30))</f>
        <v>100</v>
      </c>
      <c r="O84" s="12">
        <f>IF(RZS_WS[[#This Row],[名前]]="","",(100+((VLOOKUP(RZS_WS[[#This Row],[No用]],Q_Stat[],19,FALSE)-Statistics100!H$23)*5)/Statistics100!H$30))</f>
        <v>95.503401665359448</v>
      </c>
      <c r="P84" s="12">
        <f>IF(RZS_WS[[#This Row],[名前]]="","",(100+((VLOOKUP(RZS_WS[[#This Row],[No用]],Q_Stat[],20,FALSE)-Statistics100!I$23)*5)/Statistics100!I$30))</f>
        <v>99.325510249803912</v>
      </c>
      <c r="Q84" s="12">
        <f>IF(RZS_WS[[#This Row],[名前]]="","",(100+((VLOOKUP(RZS_WS[[#This Row],[No用]],Q_Stat[],21,FALSE)-Statistics100!J$23)*5)/Statistics100!J$30))</f>
        <v>97.160043157069126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98.629942694914206</v>
      </c>
      <c r="T84" s="12">
        <f>IF(RZS_WS[[#This Row],[名前]]="","",(100+((VLOOKUP(RZS_WS[[#This Row],[No用]],Q_Stat[],26,FALSE)-Statistics100!M$23)*5)/Statistics100!M$30))</f>
        <v>100.69178435917547</v>
      </c>
      <c r="U84" s="12">
        <f>IF(RZS_WS[[#This Row],[名前]]="","",(100+((VLOOKUP(RZS_WS[[#This Row],[No用]],Q_Stat[],27,FALSE)-Statistics100!N$23)*5)/Statistics100!N$30))</f>
        <v>95.503401665359448</v>
      </c>
      <c r="V84" s="12">
        <f>IF(RZS_WS[[#This Row],[名前]]="","",(100+((VLOOKUP(RZS_WS[[#This Row],[No用]],Q_Stat[],28,FALSE)-Statistics100!O$23)*5)/Statistics100!O$30))</f>
        <v>92.29154571204478</v>
      </c>
      <c r="W84" s="12">
        <f>IF(RZS_WS[[#This Row],[名前]]="","",(100+((VLOOKUP(RZS_WS[[#This Row],[No用]],Q_Stat[],29,FALSE)-Statistics100!P$23)*5)/Statistics100!P$30))</f>
        <v>95.182216070027991</v>
      </c>
      <c r="X84" s="12">
        <f>IF(RZS_WS[[#This Row],[名前]]="","",(100+((VLOOKUP(RZS_WS[[#This Row],[No用]],Q_Stat[],30,FALSE)-Statistics100!Q$23)*5)/Statistics100!Q$30))</f>
        <v>98.875850416339858</v>
      </c>
    </row>
    <row r="85" spans="1:24" x14ac:dyDescent="0.35">
      <c r="A85" t="str">
        <f>IFERROR(Q_WS[[#This Row],[No.]],"")</f>
        <v>195</v>
      </c>
      <c r="B85" t="str">
        <f>IFERROR(Q_WS[[#This Row],[服装]],"")</f>
        <v>ユニフォーム</v>
      </c>
      <c r="C85" t="str">
        <f>IFERROR(Q_WS[[#This Row],[名前]],"")</f>
        <v>星海光来</v>
      </c>
      <c r="D85" t="str">
        <f>IFERROR(Q_WS[[#This Row],[じゃんけん]],"")</f>
        <v>チョキ</v>
      </c>
      <c r="E85" t="str">
        <f>IFERROR(Q_WS[[#This Row],[ポジション]],"")</f>
        <v>WS</v>
      </c>
      <c r="F85" t="str">
        <f>IFERROR(Q_WS[[#This Row],[高校]],"")</f>
        <v>鴎台</v>
      </c>
      <c r="G85" t="str">
        <f>IFERROR(Q_WS[[#This Row],[レアリティ]],"")</f>
        <v>ICONIC</v>
      </c>
      <c r="H85" t="str">
        <f>IFERROR(Q_WS[[#This Row],[No用]],"")</f>
        <v>ユニフォーム星海光来ICONIC</v>
      </c>
      <c r="I85" s="12">
        <f>IF(RZS_WS[[#This Row],[名前]]="","",(100+((VLOOKUP(RZS_WS[[#This Row],[No用]],Q_Stat[],13,FALSE)-Statistics100!B$23)*5)/Statistics100!B$30))</f>
        <v>106.99470852055197</v>
      </c>
      <c r="J85" s="12">
        <f>IF(RZS_WS[[#This Row],[名前]]="","",(100+((VLOOKUP(RZS_WS[[#This Row],[No用]],Q_Stat[],14,FALSE)-Statistics100!C$23)*5)/Statistics100!C$30))</f>
        <v>105.62074791830068</v>
      </c>
      <c r="K85" s="12">
        <f>IF(RZS_WS[[#This Row],[名前]]="","",(100+((VLOOKUP(RZS_WS[[#This Row],[No用]],Q_Stat[],15,FALSE)-Statistics100!D$23)*5)/Statistics100!D$30))</f>
        <v>103.85422714397761</v>
      </c>
      <c r="L85" s="12">
        <f>IF(RZS_WS[[#This Row],[名前]]="","",(100+((VLOOKUP(RZS_WS[[#This Row],[No用]],Q_Stat[],16,FALSE)-Statistics100!E$23)*5)/Statistics100!E$30))</f>
        <v>101.79863933385622</v>
      </c>
      <c r="M85" s="12">
        <f>IF(RZS_WS[[#This Row],[名前]]="","",(100+((VLOOKUP(RZS_WS[[#This Row],[No用]],Q_Stat[],17,FALSE)-Statistics100!F$23)*5)/Statistics100!F$30))</f>
        <v>101.6862243754902</v>
      </c>
      <c r="N85" s="12">
        <f>IF(RZS_WS[[#This Row],[名前]]="","",(100+((VLOOKUP(RZS_WS[[#This Row],[No用]],Q_Stat[],18,FALSE)-Statistics100!G$23)*5)/Statistics100!G$30))</f>
        <v>103.37244875098041</v>
      </c>
      <c r="O85" s="12">
        <f>IF(RZS_WS[[#This Row],[名前]]="","",(100+((VLOOKUP(RZS_WS[[#This Row],[No用]],Q_Stat[],19,FALSE)-Statistics100!H$23)*5)/Statistics100!H$30))</f>
        <v>101.49886611154685</v>
      </c>
      <c r="P85" s="12">
        <f>IF(RZS_WS[[#This Row],[名前]]="","",(100+((VLOOKUP(RZS_WS[[#This Row],[No用]],Q_Stat[],20,FALSE)-Statistics100!I$23)*5)/Statistics100!I$30))</f>
        <v>110.11734625294123</v>
      </c>
      <c r="Q85" s="12">
        <f>IF(RZS_WS[[#This Row],[名前]]="","",(100+((VLOOKUP(RZS_WS[[#This Row],[No用]],Q_Stat[],21,FALSE)-Statistics100!J$23)*5)/Statistics100!J$30))</f>
        <v>104.2599352643963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106.85028652542896</v>
      </c>
      <c r="T85" s="12">
        <f>IF(RZS_WS[[#This Row],[名前]]="","",(100+((VLOOKUP(RZS_WS[[#This Row],[No用]],Q_Stat[],26,FALSE)-Statistics100!M$23)*5)/Statistics100!M$30))</f>
        <v>105.53427487340375</v>
      </c>
      <c r="U85" s="12">
        <f>IF(RZS_WS[[#This Row],[名前]]="","",(100+((VLOOKUP(RZS_WS[[#This Row],[No用]],Q_Stat[],27,FALSE)-Statistics100!N$23)*5)/Statistics100!N$30))</f>
        <v>103.93452354281048</v>
      </c>
      <c r="V85" s="12">
        <f>IF(RZS_WS[[#This Row],[名前]]="","",(100+((VLOOKUP(RZS_WS[[#This Row],[No用]],Q_Stat[],28,FALSE)-Statistics100!O$23)*5)/Statistics100!O$30))</f>
        <v>103.85422714397761</v>
      </c>
      <c r="W85" s="12">
        <f>IF(RZS_WS[[#This Row],[名前]]="","",(100+((VLOOKUP(RZS_WS[[#This Row],[No用]],Q_Stat[],29,FALSE)-Statistics100!P$23)*5)/Statistics100!P$30))</f>
        <v>103.85422714397761</v>
      </c>
      <c r="X85" s="12">
        <f>IF(RZS_WS[[#This Row],[名前]]="","",(100+((VLOOKUP(RZS_WS[[#This Row],[No用]],Q_Stat[],30,FALSE)-Statistics100!Q$23)*5)/Statistics100!Q$30))</f>
        <v>108.99319666928109</v>
      </c>
    </row>
    <row r="86" spans="1:24" x14ac:dyDescent="0.35">
      <c r="A86" t="str">
        <f>IFERROR(Q_WS[[#This Row],[No.]],"")</f>
        <v>196</v>
      </c>
      <c r="B86" t="str">
        <f>IFERROR(Q_WS[[#This Row],[服装]],"")</f>
        <v>文化祭</v>
      </c>
      <c r="C86" t="str">
        <f>IFERROR(Q_WS[[#This Row],[名前]],"")</f>
        <v>星海光来</v>
      </c>
      <c r="D86" t="str">
        <f>IFERROR(Q_WS[[#This Row],[じゃんけん]],"")</f>
        <v>グー</v>
      </c>
      <c r="E86" t="str">
        <f>IFERROR(Q_WS[[#This Row],[ポジション]],"")</f>
        <v>WS</v>
      </c>
      <c r="F86" t="str">
        <f>IFERROR(Q_WS[[#This Row],[高校]],"")</f>
        <v>鴎台</v>
      </c>
      <c r="G86" t="str">
        <f>IFERROR(Q_WS[[#This Row],[レアリティ]],"")</f>
        <v>ICONIC</v>
      </c>
      <c r="H86" t="str">
        <f>IFERROR(Q_WS[[#This Row],[No用]],"")</f>
        <v>文化祭星海光来ICONIC</v>
      </c>
      <c r="I86" s="12">
        <f>IF(RZS_WS[[#This Row],[名前]]="","",(100+((VLOOKUP(RZS_WS[[#This Row],[No用]],Q_Stat[],13,FALSE)-Statistics100!B$23)*5)/Statistics100!B$30))</f>
        <v>109.99244074364566</v>
      </c>
      <c r="J86" s="12">
        <f>IF(RZS_WS[[#This Row],[名前]]="","",(100+((VLOOKUP(RZS_WS[[#This Row],[No用]],Q_Stat[],14,FALSE)-Statistics100!C$23)*5)/Statistics100!C$30))</f>
        <v>108.99319666928109</v>
      </c>
      <c r="K86" s="12">
        <f>IF(RZS_WS[[#This Row],[名前]]="","",(100+((VLOOKUP(RZS_WS[[#This Row],[No用]],Q_Stat[],15,FALSE)-Statistics100!D$23)*5)/Statistics100!D$30))</f>
        <v>107.70845428795522</v>
      </c>
      <c r="L86" s="12">
        <f>IF(RZS_WS[[#This Row],[名前]]="","",(100+((VLOOKUP(RZS_WS[[#This Row],[No用]],Q_Stat[],16,FALSE)-Statistics100!E$23)*5)/Statistics100!E$30))</f>
        <v>103.59727866771243</v>
      </c>
      <c r="M86" s="12">
        <f>IF(RZS_WS[[#This Row],[名前]]="","",(100+((VLOOKUP(RZS_WS[[#This Row],[No用]],Q_Stat[],17,FALSE)-Statistics100!F$23)*5)/Statistics100!F$30))</f>
        <v>101.6862243754902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102.99773222309369</v>
      </c>
      <c r="P86" s="12">
        <f>IF(RZS_WS[[#This Row],[名前]]="","",(100+((VLOOKUP(RZS_WS[[#This Row],[No用]],Q_Stat[],20,FALSE)-Statistics100!I$23)*5)/Statistics100!I$30))</f>
        <v>114.16428475411772</v>
      </c>
      <c r="Q86" s="12">
        <f>IF(RZS_WS[[#This Row],[名前]]="","",(100+((VLOOKUP(RZS_WS[[#This Row],[No用]],Q_Stat[],21,FALSE)-Statistics100!J$23)*5)/Statistics100!J$30))</f>
        <v>105.67991368586175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109.80117918253681</v>
      </c>
      <c r="T86" s="12">
        <f>IF(RZS_WS[[#This Row],[名前]]="","",(100+((VLOOKUP(RZS_WS[[#This Row],[No用]],Q_Stat[],26,FALSE)-Statistics100!M$23)*5)/Statistics100!M$30))</f>
        <v>107.60962795093016</v>
      </c>
      <c r="U86" s="12">
        <f>IF(RZS_WS[[#This Row],[名前]]="","",(100+((VLOOKUP(RZS_WS[[#This Row],[No用]],Q_Stat[],27,FALSE)-Statistics100!N$23)*5)/Statistics100!N$30))</f>
        <v>106.18282271013075</v>
      </c>
      <c r="V86" s="12">
        <f>IF(RZS_WS[[#This Row],[名前]]="","",(100+((VLOOKUP(RZS_WS[[#This Row],[No用]],Q_Stat[],28,FALSE)-Statistics100!O$23)*5)/Statistics100!O$30))</f>
        <v>107.70845428795522</v>
      </c>
      <c r="W86" s="12">
        <f>IF(RZS_WS[[#This Row],[名前]]="","",(100+((VLOOKUP(RZS_WS[[#This Row],[No用]],Q_Stat[],29,FALSE)-Statistics100!P$23)*5)/Statistics100!P$30))</f>
        <v>105.78134071596642</v>
      </c>
      <c r="X86" s="12">
        <f>IF(RZS_WS[[#This Row],[名前]]="","",(100+((VLOOKUP(RZS_WS[[#This Row],[No用]],Q_Stat[],30,FALSE)-Statistics100!Q$23)*5)/Statistics100!Q$30))</f>
        <v>113.48979500392164</v>
      </c>
    </row>
    <row r="87" spans="1:24" x14ac:dyDescent="0.35">
      <c r="A87" t="str">
        <f>IFERROR(Q_WS[[#This Row],[No.]],"")</f>
        <v>197</v>
      </c>
      <c r="B87" t="str">
        <f>IFERROR(Q_WS[[#This Row],[服装]],"")</f>
        <v>サバゲ</v>
      </c>
      <c r="C87" t="str">
        <f>IFERROR(Q_WS[[#This Row],[名前]],"")</f>
        <v>星海光来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鴎台</v>
      </c>
      <c r="G87" t="str">
        <f>IFERROR(Q_WS[[#This Row],[レアリティ]],"")</f>
        <v>ICONIC</v>
      </c>
      <c r="H87" t="str">
        <f>IFERROR(Q_WS[[#This Row],[No用]],"")</f>
        <v>サバゲ星海光来ICONIC</v>
      </c>
      <c r="I87" s="12">
        <f>IF(RZS_WS[[#This Row],[名前]]="","",(100+((VLOOKUP(RZS_WS[[#This Row],[No用]],Q_Stat[],13,FALSE)-Statistics100!B$23)*5)/Statistics100!B$30))</f>
        <v>108.99319666928109</v>
      </c>
      <c r="J87" s="12">
        <f>IF(RZS_WS[[#This Row],[名前]]="","",(100+((VLOOKUP(RZS_WS[[#This Row],[No用]],Q_Stat[],14,FALSE)-Statistics100!C$23)*5)/Statistics100!C$30))</f>
        <v>111.24149583660136</v>
      </c>
      <c r="K87" s="12">
        <f>IF(RZS_WS[[#This Row],[名前]]="","",(100+((VLOOKUP(RZS_WS[[#This Row],[No用]],Q_Stat[],15,FALSE)-Statistics100!D$23)*5)/Statistics100!D$30))</f>
        <v>103.85422714397761</v>
      </c>
      <c r="L87" s="12">
        <f>IF(RZS_WS[[#This Row],[名前]]="","",(100+((VLOOKUP(RZS_WS[[#This Row],[No用]],Q_Stat[],16,FALSE)-Statistics100!E$23)*5)/Statistics100!E$30))</f>
        <v>105.39591800156866</v>
      </c>
      <c r="M87" s="12">
        <f>IF(RZS_WS[[#This Row],[名前]]="","",(100+((VLOOKUP(RZS_WS[[#This Row],[No用]],Q_Stat[],17,FALSE)-Statistics100!F$23)*5)/Statistics100!F$30))</f>
        <v>101.6862243754902</v>
      </c>
      <c r="N87" s="12">
        <f>IF(RZS_WS[[#This Row],[名前]]="","",(100+((VLOOKUP(RZS_WS[[#This Row],[No用]],Q_Stat[],18,FALSE)-Statistics100!G$23)*5)/Statistics100!G$30))</f>
        <v>100</v>
      </c>
      <c r="O87" s="12">
        <f>IF(RZS_WS[[#This Row],[名前]]="","",(100+((VLOOKUP(RZS_WS[[#This Row],[No用]],Q_Stat[],19,FALSE)-Statistics100!H$23)*5)/Statistics100!H$30))</f>
        <v>105.9954644461874</v>
      </c>
      <c r="P87" s="12">
        <f>IF(RZS_WS[[#This Row],[名前]]="","",(100+((VLOOKUP(RZS_WS[[#This Row],[No用]],Q_Stat[],20,FALSE)-Statistics100!I$23)*5)/Statistics100!I$30))</f>
        <v>112.81530525372555</v>
      </c>
      <c r="Q87" s="12">
        <f>IF(RZS_WS[[#This Row],[名前]]="","",(100+((VLOOKUP(RZS_WS[[#This Row],[No用]],Q_Stat[],21,FALSE)-Statistics100!J$23)*5)/Statistics100!J$30))</f>
        <v>107.09989210732718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110.0119572294731</v>
      </c>
      <c r="T87" s="12">
        <f>IF(RZS_WS[[#This Row],[名前]]="","",(100+((VLOOKUP(RZS_WS[[#This Row],[No用]],Q_Stat[],26,FALSE)-Statistics100!M$23)*5)/Statistics100!M$30))</f>
        <v>106.91784359175469</v>
      </c>
      <c r="U87" s="12">
        <f>IF(RZS_WS[[#This Row],[名前]]="","",(100+((VLOOKUP(RZS_WS[[#This Row],[No用]],Q_Stat[],27,FALSE)-Statistics100!N$23)*5)/Statistics100!N$30))</f>
        <v>107.86904708562096</v>
      </c>
      <c r="V87" s="12">
        <f>IF(RZS_WS[[#This Row],[名前]]="","",(100+((VLOOKUP(RZS_WS[[#This Row],[No用]],Q_Stat[],28,FALSE)-Statistics100!O$23)*5)/Statistics100!O$30))</f>
        <v>103.85422714397761</v>
      </c>
      <c r="W87" s="12">
        <f>IF(RZS_WS[[#This Row],[名前]]="","",(100+((VLOOKUP(RZS_WS[[#This Row],[No用]],Q_Stat[],29,FALSE)-Statistics100!P$23)*5)/Statistics100!P$30))</f>
        <v>108.67201107394962</v>
      </c>
      <c r="X87" s="12">
        <f>IF(RZS_WS[[#This Row],[名前]]="","",(100+((VLOOKUP(RZS_WS[[#This Row],[No用]],Q_Stat[],30,FALSE)-Statistics100!Q$23)*5)/Statistics100!Q$30))</f>
        <v>110.11734625294123</v>
      </c>
    </row>
    <row r="88" spans="1:24" x14ac:dyDescent="0.35">
      <c r="A88" t="str">
        <f>IFERROR(Q_WS[[#This Row],[No.]],"")</f>
        <v>200</v>
      </c>
      <c r="B88" t="str">
        <f>IFERROR(Q_WS[[#This Row],[服装]],"")</f>
        <v>ユニフォーム</v>
      </c>
      <c r="C88" t="str">
        <f>IFERROR(Q_WS[[#This Row],[名前]],"")</f>
        <v>佐久早聖臣</v>
      </c>
      <c r="D88" t="str">
        <f>IFERROR(Q_WS[[#This Row],[じゃんけん]],"")</f>
        <v>チョキ</v>
      </c>
      <c r="E88" t="str">
        <f>IFERROR(Q_WS[[#This Row],[ポジション]],"")</f>
        <v>WS</v>
      </c>
      <c r="F88" t="str">
        <f>IFERROR(Q_WS[[#This Row],[高校]],"")</f>
        <v>井闥山</v>
      </c>
      <c r="G88" t="str">
        <f>IFERROR(Q_WS[[#This Row],[レアリティ]],"")</f>
        <v>ICONIC</v>
      </c>
      <c r="H88" t="str">
        <f>IFERROR(Q_WS[[#This Row],[No用]],"")</f>
        <v>ユニフォーム佐久早聖臣ICONIC</v>
      </c>
      <c r="I88" s="12">
        <f>IF(RZS_WS[[#This Row],[名前]]="","",(100+((VLOOKUP(RZS_WS[[#This Row],[No用]],Q_Stat[],13,FALSE)-Statistics100!B$23)*5)/Statistics100!B$30))</f>
        <v>105.9954644461874</v>
      </c>
      <c r="J88" s="12">
        <f>IF(RZS_WS[[#This Row],[名前]]="","",(100+((VLOOKUP(RZS_WS[[#This Row],[No用]],Q_Stat[],14,FALSE)-Statistics100!C$23)*5)/Statistics100!C$30))</f>
        <v>106.74489750196082</v>
      </c>
      <c r="K88" s="12">
        <f>IF(RZS_WS[[#This Row],[名前]]="","",(100+((VLOOKUP(RZS_WS[[#This Row],[No用]],Q_Stat[],15,FALSE)-Statistics100!D$23)*5)/Statistics100!D$30))</f>
        <v>100</v>
      </c>
      <c r="L88" s="12">
        <f>IF(RZS_WS[[#This Row],[名前]]="","",(100+((VLOOKUP(RZS_WS[[#This Row],[No用]],Q_Stat[],16,FALSE)-Statistics100!E$23)*5)/Statistics100!E$30))</f>
        <v>101.79863933385622</v>
      </c>
      <c r="M88" s="12">
        <f>IF(RZS_WS[[#This Row],[名前]]="","",(100+((VLOOKUP(RZS_WS[[#This Row],[No用]],Q_Stat[],17,FALSE)-Statistics100!F$23)*5)/Statistics100!F$30))</f>
        <v>101.6862243754902</v>
      </c>
      <c r="N88" s="12">
        <f>IF(RZS_WS[[#This Row],[名前]]="","",(100+((VLOOKUP(RZS_WS[[#This Row],[No用]],Q_Stat[],18,FALSE)-Statistics100!G$23)*5)/Statistics100!G$30))</f>
        <v>103.37244875098041</v>
      </c>
      <c r="O88" s="12">
        <f>IF(RZS_WS[[#This Row],[名前]]="","",(100+((VLOOKUP(RZS_WS[[#This Row],[No用]],Q_Stat[],19,FALSE)-Statistics100!H$23)*5)/Statistics100!H$30))</f>
        <v>108.99319666928109</v>
      </c>
      <c r="P88" s="12">
        <f>IF(RZS_WS[[#This Row],[名前]]="","",(100+((VLOOKUP(RZS_WS[[#This Row],[No用]],Q_Stat[],20,FALSE)-Statistics100!I$23)*5)/Statistics100!I$30))</f>
        <v>100.67448975019609</v>
      </c>
      <c r="Q88" s="12">
        <f>IF(RZS_WS[[#This Row],[名前]]="","",(100+((VLOOKUP(RZS_WS[[#This Row],[No用]],Q_Stat[],21,FALSE)-Statistics100!J$23)*5)/Statistics100!J$30))</f>
        <v>102.83995684293087</v>
      </c>
      <c r="R88" s="12">
        <f>IF(RZS_WS[[#This Row],[名前]]="","",(100+((VLOOKUP(RZS_WS[[#This Row],[No用]],Q_Stat[],22,FALSE)-Statistics100!K$23)*5)/Statistics100!K$30))</f>
        <v>103.37244875098041</v>
      </c>
      <c r="S88" s="12">
        <f>IF(RZS_WS[[#This Row],[名前]]="","",(100+((VLOOKUP(RZS_WS[[#This Row],[No用]],Q_Stat[],25,FALSE)-Statistics100!L$23)*5)/Statistics100!L$30))</f>
        <v>107.06106457236524</v>
      </c>
      <c r="T88" s="12">
        <f>IF(RZS_WS[[#This Row],[名前]]="","",(100+((VLOOKUP(RZS_WS[[#This Row],[No用]],Q_Stat[],26,FALSE)-Statistics100!M$23)*5)/Statistics100!M$30))</f>
        <v>104.84249051422827</v>
      </c>
      <c r="U88" s="12">
        <f>IF(RZS_WS[[#This Row],[名前]]="","",(100+((VLOOKUP(RZS_WS[[#This Row],[No用]],Q_Stat[],27,FALSE)-Statistics100!N$23)*5)/Statistics100!N$30))</f>
        <v>104.49659833464055</v>
      </c>
      <c r="V88" s="12">
        <f>IF(RZS_WS[[#This Row],[名前]]="","",(100+((VLOOKUP(RZS_WS[[#This Row],[No用]],Q_Stat[],28,FALSE)-Statistics100!O$23)*5)/Statistics100!O$30))</f>
        <v>100</v>
      </c>
      <c r="W88" s="12">
        <f>IF(RZS_WS[[#This Row],[名前]]="","",(100+((VLOOKUP(RZS_WS[[#This Row],[No用]],Q_Stat[],29,FALSE)-Statistics100!P$23)*5)/Statistics100!P$30))</f>
        <v>107.70845428795522</v>
      </c>
      <c r="X88" s="12">
        <f>IF(RZS_WS[[#This Row],[名前]]="","",(100+((VLOOKUP(RZS_WS[[#This Row],[No用]],Q_Stat[],30,FALSE)-Statistics100!Q$23)*5)/Statistics100!Q$30))</f>
        <v>101.12414958366014</v>
      </c>
    </row>
    <row r="89" spans="1:24" x14ac:dyDescent="0.35">
      <c r="A89" t="str">
        <f>IFERROR(Q_WS[[#This Row],[No.]],"")</f>
        <v>201</v>
      </c>
      <c r="B89" t="str">
        <f>IFERROR(Q_WS[[#This Row],[服装]],"")</f>
        <v>サバゲ</v>
      </c>
      <c r="C89" t="str">
        <f>IFERROR(Q_WS[[#This Row],[名前]],"")</f>
        <v>佐久早聖臣</v>
      </c>
      <c r="D89" t="str">
        <f>IFERROR(Q_WS[[#This Row],[じゃんけん]],"")</f>
        <v>グー</v>
      </c>
      <c r="E89" t="str">
        <f>IFERROR(Q_WS[[#This Row],[ポジション]],"")</f>
        <v>WS</v>
      </c>
      <c r="F89" t="str">
        <f>IFERROR(Q_WS[[#This Row],[高校]],"")</f>
        <v>井闥山</v>
      </c>
      <c r="G89" t="str">
        <f>IFERROR(Q_WS[[#This Row],[レアリティ]],"")</f>
        <v>ICONIC</v>
      </c>
      <c r="H89" t="str">
        <f>IFERROR(Q_WS[[#This Row],[No用]],"")</f>
        <v>サバゲ佐久早聖臣ICONIC</v>
      </c>
      <c r="I89" s="12">
        <f>IF(RZS_WS[[#This Row],[名前]]="","",(100+((VLOOKUP(RZS_WS[[#This Row],[No用]],Q_Stat[],13,FALSE)-Statistics100!B$23)*5)/Statistics100!B$30))</f>
        <v>108.99319666928109</v>
      </c>
      <c r="J89" s="12">
        <f>IF(RZS_WS[[#This Row],[名前]]="","",(100+((VLOOKUP(RZS_WS[[#This Row],[No用]],Q_Stat[],14,FALSE)-Statistics100!C$23)*5)/Statistics100!C$30))</f>
        <v>110.11734625294123</v>
      </c>
      <c r="K89" s="12">
        <f>IF(RZS_WS[[#This Row],[名前]]="","",(100+((VLOOKUP(RZS_WS[[#This Row],[No用]],Q_Stat[],15,FALSE)-Statistics100!D$23)*5)/Statistics100!D$30))</f>
        <v>103.85422714397761</v>
      </c>
      <c r="L89" s="12">
        <f>IF(RZS_WS[[#This Row],[名前]]="","",(100+((VLOOKUP(RZS_WS[[#This Row],[No用]],Q_Stat[],16,FALSE)-Statistics100!E$23)*5)/Statistics100!E$30))</f>
        <v>103.59727866771243</v>
      </c>
      <c r="M89" s="12">
        <f>IF(RZS_WS[[#This Row],[名前]]="","",(100+((VLOOKUP(RZS_WS[[#This Row],[No用]],Q_Stat[],17,FALSE)-Statistics100!F$23)*5)/Statistics100!F$30))</f>
        <v>101.6862243754902</v>
      </c>
      <c r="N89" s="12">
        <f>IF(RZS_WS[[#This Row],[名前]]="","",(100+((VLOOKUP(RZS_WS[[#This Row],[No用]],Q_Stat[],18,FALSE)-Statistics100!G$23)*5)/Statistics100!G$30))</f>
        <v>106.74489750196082</v>
      </c>
      <c r="O89" s="12">
        <f>IF(RZS_WS[[#This Row],[名前]]="","",(100+((VLOOKUP(RZS_WS[[#This Row],[No用]],Q_Stat[],19,FALSE)-Statistics100!H$23)*5)/Statistics100!H$30))</f>
        <v>110.49206278082794</v>
      </c>
      <c r="P89" s="12">
        <f>IF(RZS_WS[[#This Row],[名前]]="","",(100+((VLOOKUP(RZS_WS[[#This Row],[No用]],Q_Stat[],20,FALSE)-Statistics100!I$23)*5)/Statistics100!I$30))</f>
        <v>104.72142825137257</v>
      </c>
      <c r="Q89" s="12">
        <f>IF(RZS_WS[[#This Row],[名前]]="","",(100+((VLOOKUP(RZS_WS[[#This Row],[No用]],Q_Stat[],21,FALSE)-Statistics100!J$23)*5)/Statistics100!J$30))</f>
        <v>104.2599352643963</v>
      </c>
      <c r="R89" s="12">
        <f>IF(RZS_WS[[#This Row],[名前]]="","",(100+((VLOOKUP(RZS_WS[[#This Row],[No用]],Q_Stat[],22,FALSE)-Statistics100!K$23)*5)/Statistics100!K$30))</f>
        <v>103.37244875098041</v>
      </c>
      <c r="S89" s="12">
        <f>IF(RZS_WS[[#This Row],[名前]]="","",(100+((VLOOKUP(RZS_WS[[#This Row],[No用]],Q_Stat[],25,FALSE)-Statistics100!L$23)*5)/Statistics100!L$30))</f>
        <v>110.0119572294731</v>
      </c>
      <c r="T89" s="12">
        <f>IF(RZS_WS[[#This Row],[名前]]="","",(100+((VLOOKUP(RZS_WS[[#This Row],[No用]],Q_Stat[],26,FALSE)-Statistics100!M$23)*5)/Statistics100!M$30))</f>
        <v>106.91784359175469</v>
      </c>
      <c r="U89" s="12">
        <f>IF(RZS_WS[[#This Row],[名前]]="","",(100+((VLOOKUP(RZS_WS[[#This Row],[No用]],Q_Stat[],27,FALSE)-Statistics100!N$23)*5)/Statistics100!N$30))</f>
        <v>106.74489750196082</v>
      </c>
      <c r="V89" s="12">
        <f>IF(RZS_WS[[#This Row],[名前]]="","",(100+((VLOOKUP(RZS_WS[[#This Row],[No用]],Q_Stat[],28,FALSE)-Statistics100!O$23)*5)/Statistics100!O$30))</f>
        <v>103.85422714397761</v>
      </c>
      <c r="W89" s="12">
        <f>IF(RZS_WS[[#This Row],[名前]]="","",(100+((VLOOKUP(RZS_WS[[#This Row],[No用]],Q_Stat[],29,FALSE)-Statistics100!P$23)*5)/Statistics100!P$30))</f>
        <v>109.63556785994403</v>
      </c>
      <c r="X89" s="12">
        <f>IF(RZS_WS[[#This Row],[名前]]="","",(100+((VLOOKUP(RZS_WS[[#This Row],[No用]],Q_Stat[],30,FALSE)-Statistics100!Q$23)*5)/Statistics100!Q$30))</f>
        <v>105.62074791830068</v>
      </c>
    </row>
    <row r="90" spans="1:24" x14ac:dyDescent="0.35">
      <c r="A90" t="str">
        <f>IFERROR(Q_WS[[#This Row],[No.]],"")</f>
        <v>203</v>
      </c>
      <c r="B90" t="str">
        <f>IFERROR(Q_WS[[#This Row],[服装]],"")</f>
        <v>ユニフォーム</v>
      </c>
      <c r="C90" t="str">
        <f>IFERROR(Q_WS[[#This Row],[名前]],"")</f>
        <v>大将優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ユニフォーム大将優ICONIC</v>
      </c>
      <c r="I90" s="12">
        <f>IF(RZS_WS[[#This Row],[名前]]="","",(100+((VLOOKUP(RZS_WS[[#This Row],[No用]],Q_Stat[],13,FALSE)-Statistics100!B$23)*5)/Statistics100!B$30))</f>
        <v>100</v>
      </c>
      <c r="J90" s="12">
        <f>IF(RZS_WS[[#This Row],[名前]]="","",(100+((VLOOKUP(RZS_WS[[#This Row],[No用]],Q_Stat[],14,FALSE)-Statistics100!C$23)*5)/Statistics100!C$30))</f>
        <v>98.875850416339858</v>
      </c>
      <c r="K90" s="12">
        <f>IF(RZS_WS[[#This Row],[名前]]="","",(100+((VLOOKUP(RZS_WS[[#This Row],[No用]],Q_Stat[],15,FALSE)-Statistics100!D$23)*5)/Statistics100!D$30))</f>
        <v>115.41690857591044</v>
      </c>
      <c r="L90" s="12">
        <f>IF(RZS_WS[[#This Row],[名前]]="","",(100+((VLOOKUP(RZS_WS[[#This Row],[No用]],Q_Stat[],16,FALSE)-Statistics100!E$23)*5)/Statistics100!E$30))</f>
        <v>105.39591800156866</v>
      </c>
      <c r="M90" s="12">
        <f>IF(RZS_WS[[#This Row],[名前]]="","",(100+((VLOOKUP(RZS_WS[[#This Row],[No用]],Q_Stat[],17,FALSE)-Statistics100!F$23)*5)/Statistics100!F$30))</f>
        <v>101.6862243754902</v>
      </c>
      <c r="N90" s="12">
        <f>IF(RZS_WS[[#This Row],[名前]]="","",(100+((VLOOKUP(RZS_WS[[#This Row],[No用]],Q_Stat[],18,FALSE)-Statistics100!G$23)*5)/Statistics100!G$30))</f>
        <v>96.627551249019589</v>
      </c>
      <c r="O90" s="12">
        <f>IF(RZS_WS[[#This Row],[名前]]="","",(100+((VLOOKUP(RZS_WS[[#This Row],[No用]],Q_Stat[],19,FALSE)-Statistics100!H$23)*5)/Statistics100!H$30))</f>
        <v>107.49433055773424</v>
      </c>
      <c r="P90" s="12">
        <f>IF(RZS_WS[[#This Row],[名前]]="","",(100+((VLOOKUP(RZS_WS[[#This Row],[No用]],Q_Stat[],20,FALSE)-Statistics100!I$23)*5)/Statistics100!I$30))</f>
        <v>106.07040775176473</v>
      </c>
      <c r="Q90" s="12">
        <f>IF(RZS_WS[[#This Row],[名前]]="","",(100+((VLOOKUP(RZS_WS[[#This Row],[No用]],Q_Stat[],21,FALSE)-Statistics100!J$23)*5)/Statistics100!J$30))</f>
        <v>100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104.32094996219365</v>
      </c>
      <c r="T90" s="12">
        <f>IF(RZS_WS[[#This Row],[名前]]="","",(100+((VLOOKUP(RZS_WS[[#This Row],[No用]],Q_Stat[],26,FALSE)-Statistics100!M$23)*5)/Statistics100!M$30))</f>
        <v>100.69178435917547</v>
      </c>
      <c r="U90" s="12">
        <f>IF(RZS_WS[[#This Row],[名前]]="","",(100+((VLOOKUP(RZS_WS[[#This Row],[No用]],Q_Stat[],27,FALSE)-Statistics100!N$23)*5)/Statistics100!N$30))</f>
        <v>101.6862243754902</v>
      </c>
      <c r="V90" s="12">
        <f>IF(RZS_WS[[#This Row],[名前]]="","",(100+((VLOOKUP(RZS_WS[[#This Row],[No用]],Q_Stat[],28,FALSE)-Statistics100!O$23)*5)/Statistics100!O$30))</f>
        <v>115.41690857591044</v>
      </c>
      <c r="W90" s="12">
        <f>IF(RZS_WS[[#This Row],[名前]]="","",(100+((VLOOKUP(RZS_WS[[#This Row],[No用]],Q_Stat[],29,FALSE)-Statistics100!P$23)*5)/Statistics100!P$30))</f>
        <v>104.81778392997201</v>
      </c>
      <c r="X90" s="12">
        <f>IF(RZS_WS[[#This Row],[名前]]="","",(100+((VLOOKUP(RZS_WS[[#This Row],[No用]],Q_Stat[],30,FALSE)-Statistics100!Q$23)*5)/Statistics100!Q$30))</f>
        <v>103.37244875098041</v>
      </c>
    </row>
    <row r="91" spans="1:24" x14ac:dyDescent="0.35">
      <c r="A91" t="str">
        <f>IFERROR(Q_WS[[#This Row],[No.]],"")</f>
        <v>204</v>
      </c>
      <c r="B91" t="str">
        <f>IFERROR(Q_WS[[#This Row],[服装]],"")</f>
        <v>新年</v>
      </c>
      <c r="C91" t="str">
        <f>IFERROR(Q_WS[[#This Row],[名前]],"")</f>
        <v>大将優</v>
      </c>
      <c r="D91" t="str">
        <f>IFERROR(Q_WS[[#This Row],[じゃんけん]],"")</f>
        <v>チョキ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新年大将優ICONIC</v>
      </c>
      <c r="I91" s="12">
        <f>IF(RZS_WS[[#This Row],[名前]]="","",(100+((VLOOKUP(RZS_WS[[#This Row],[No用]],Q_Stat[],13,FALSE)-Statistics100!B$23)*5)/Statistics100!B$30))</f>
        <v>102.99773222309369</v>
      </c>
      <c r="J91" s="12">
        <f>IF(RZS_WS[[#This Row],[名前]]="","",(100+((VLOOKUP(RZS_WS[[#This Row],[No用]],Q_Stat[],14,FALSE)-Statistics100!C$23)*5)/Statistics100!C$30))</f>
        <v>102.24829916732027</v>
      </c>
      <c r="K91" s="12">
        <f>IF(RZS_WS[[#This Row],[名前]]="","",(100+((VLOOKUP(RZS_WS[[#This Row],[No用]],Q_Stat[],15,FALSE)-Statistics100!D$23)*5)/Statistics100!D$30))</f>
        <v>119.27113571988805</v>
      </c>
      <c r="L91" s="12">
        <f>IF(RZS_WS[[#This Row],[名前]]="","",(100+((VLOOKUP(RZS_WS[[#This Row],[No用]],Q_Stat[],16,FALSE)-Statistics100!E$23)*5)/Statistics100!E$30))</f>
        <v>107.19455733542488</v>
      </c>
      <c r="M91" s="12">
        <f>IF(RZS_WS[[#This Row],[名前]]="","",(100+((VLOOKUP(RZS_WS[[#This Row],[No用]],Q_Stat[],17,FALSE)-Statistics100!F$23)*5)/Statistics100!F$30))</f>
        <v>101.6862243754902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108.99319666928109</v>
      </c>
      <c r="P91" s="12">
        <f>IF(RZS_WS[[#This Row],[名前]]="","",(100+((VLOOKUP(RZS_WS[[#This Row],[No用]],Q_Stat[],20,FALSE)-Statistics100!I$23)*5)/Statistics100!I$30))</f>
        <v>110.11734625294123</v>
      </c>
      <c r="Q91" s="12">
        <f>IF(RZS_WS[[#This Row],[名前]]="","",(100+((VLOOKUP(RZS_WS[[#This Row],[No用]],Q_Stat[],21,FALSE)-Statistics100!J$23)*5)/Statistics100!J$30))</f>
        <v>101.41997842146543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107.27184261930151</v>
      </c>
      <c r="T91" s="12">
        <f>IF(RZS_WS[[#This Row],[名前]]="","",(100+((VLOOKUP(RZS_WS[[#This Row],[No用]],Q_Stat[],26,FALSE)-Statistics100!M$23)*5)/Statistics100!M$30))</f>
        <v>102.76713743670187</v>
      </c>
      <c r="U91" s="12">
        <f>IF(RZS_WS[[#This Row],[名前]]="","",(100+((VLOOKUP(RZS_WS[[#This Row],[No用]],Q_Stat[],27,FALSE)-Statistics100!N$23)*5)/Statistics100!N$30))</f>
        <v>103.93452354281048</v>
      </c>
      <c r="V91" s="12">
        <f>IF(RZS_WS[[#This Row],[名前]]="","",(100+((VLOOKUP(RZS_WS[[#This Row],[No用]],Q_Stat[],28,FALSE)-Statistics100!O$23)*5)/Statistics100!O$30))</f>
        <v>119.27113571988805</v>
      </c>
      <c r="W91" s="12">
        <f>IF(RZS_WS[[#This Row],[名前]]="","",(100+((VLOOKUP(RZS_WS[[#This Row],[No用]],Q_Stat[],29,FALSE)-Statistics100!P$23)*5)/Statistics100!P$30))</f>
        <v>106.74489750196082</v>
      </c>
      <c r="X91" s="12">
        <f>IF(RZS_WS[[#This Row],[名前]]="","",(100+((VLOOKUP(RZS_WS[[#This Row],[No用]],Q_Stat[],30,FALSE)-Statistics100!Q$23)*5)/Statistics100!Q$30))</f>
        <v>107.86904708562096</v>
      </c>
    </row>
    <row r="92" spans="1:24" x14ac:dyDescent="0.35">
      <c r="A92" t="str">
        <f>IFERROR(Q_WS[[#This Row],[No.]],"")</f>
        <v>205</v>
      </c>
      <c r="B92" t="str">
        <f>IFERROR(Q_WS[[#This Row],[服装]],"")</f>
        <v>ユニフォーム</v>
      </c>
      <c r="C92" t="str">
        <f>IFERROR(Q_WS[[#This Row],[名前]],"")</f>
        <v>沼井和馬</v>
      </c>
      <c r="D92" t="str">
        <f>IFERROR(Q_WS[[#This Row],[じゃんけん]],"")</f>
        <v>パー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ユニフォーム沼井和馬ICONIC</v>
      </c>
      <c r="I92" s="12">
        <f>IF(RZS_WS[[#This Row],[名前]]="","",(100+((VLOOKUP(RZS_WS[[#This Row],[No用]],Q_Stat[],13,FALSE)-Statistics100!B$23)*5)/Statistics100!B$30))</f>
        <v>101.99848814872914</v>
      </c>
      <c r="J92" s="12">
        <f>IF(RZS_WS[[#This Row],[名前]]="","",(100+((VLOOKUP(RZS_WS[[#This Row],[No用]],Q_Stat[],14,FALSE)-Statistics100!C$23)*5)/Statistics100!C$30))</f>
        <v>98.875850416339858</v>
      </c>
      <c r="K92" s="12">
        <f>IF(RZS_WS[[#This Row],[名前]]="","",(100+((VLOOKUP(RZS_WS[[#This Row],[No用]],Q_Stat[],15,FALSE)-Statistics100!D$23)*5)/Statistics100!D$30))</f>
        <v>107.70845428795522</v>
      </c>
      <c r="L92" s="12">
        <f>IF(RZS_WS[[#This Row],[名前]]="","",(100+((VLOOKUP(RZS_WS[[#This Row],[No用]],Q_Stat[],16,FALSE)-Statistics100!E$23)*5)/Statistics100!E$30))</f>
        <v>98.201360666143785</v>
      </c>
      <c r="M92" s="12">
        <f>IF(RZS_WS[[#This Row],[名前]]="","",(100+((VLOOKUP(RZS_WS[[#This Row],[No用]],Q_Stat[],17,FALSE)-Statistics100!F$23)*5)/Statistics100!F$30))</f>
        <v>94.941326873529391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102.99773222309369</v>
      </c>
      <c r="P92" s="12">
        <f>IF(RZS_WS[[#This Row],[名前]]="","",(100+((VLOOKUP(RZS_WS[[#This Row],[No用]],Q_Stat[],20,FALSE)-Statistics100!I$23)*5)/Statistics100!I$30))</f>
        <v>103.37244875098041</v>
      </c>
      <c r="Q92" s="12">
        <f>IF(RZS_WS[[#This Row],[名前]]="","",(100+((VLOOKUP(RZS_WS[[#This Row],[No用]],Q_Stat[],21,FALSE)-Statistics100!J$23)*5)/Statistics100!J$30))</f>
        <v>101.41997842146543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102.2131694928309</v>
      </c>
      <c r="T92" s="12">
        <f>IF(RZS_WS[[#This Row],[名前]]="","",(100+((VLOOKUP(RZS_WS[[#This Row],[No用]],Q_Stat[],26,FALSE)-Statistics100!M$23)*5)/Statistics100!M$30))</f>
        <v>99.308215640824528</v>
      </c>
      <c r="U92" s="12">
        <f>IF(RZS_WS[[#This Row],[名前]]="","",(100+((VLOOKUP(RZS_WS[[#This Row],[No用]],Q_Stat[],27,FALSE)-Statistics100!N$23)*5)/Statistics100!N$30))</f>
        <v>97.18962604084966</v>
      </c>
      <c r="V92" s="12">
        <f>IF(RZS_WS[[#This Row],[名前]]="","",(100+((VLOOKUP(RZS_WS[[#This Row],[No用]],Q_Stat[],28,FALSE)-Statistics100!O$23)*5)/Statistics100!O$30))</f>
        <v>107.70845428795522</v>
      </c>
      <c r="W92" s="12">
        <f>IF(RZS_WS[[#This Row],[名前]]="","",(100+((VLOOKUP(RZS_WS[[#This Row],[No用]],Q_Stat[],29,FALSE)-Statistics100!P$23)*5)/Statistics100!P$30))</f>
        <v>102.89067035798321</v>
      </c>
      <c r="X92" s="12">
        <f>IF(RZS_WS[[#This Row],[名前]]="","",(100+((VLOOKUP(RZS_WS[[#This Row],[No用]],Q_Stat[],30,FALSE)-Statistics100!Q$23)*5)/Statistics100!Q$30))</f>
        <v>103.37244875098041</v>
      </c>
    </row>
    <row r="93" spans="1:24" x14ac:dyDescent="0.35">
      <c r="A93" t="str">
        <f>IFERROR(Q_WS[[#This Row],[No.]],"")</f>
        <v>206</v>
      </c>
      <c r="B93" t="str">
        <f>IFERROR(Q_WS[[#This Row],[服装]],"")</f>
        <v>ユニフォーム</v>
      </c>
      <c r="C93" t="str">
        <f>IFERROR(Q_WS[[#This Row],[名前]],"")</f>
        <v>潜尚保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ユニフォーム潜尚保ICONIC</v>
      </c>
      <c r="I93" s="12">
        <f>IF(RZS_WS[[#This Row],[名前]]="","",(100+((VLOOKUP(RZS_WS[[#This Row],[No用]],Q_Stat[],13,FALSE)-Statistics100!B$23)*5)/Statistics100!B$30))</f>
        <v>100</v>
      </c>
      <c r="J93" s="12">
        <f>IF(RZS_WS[[#This Row],[名前]]="","",(100+((VLOOKUP(RZS_WS[[#This Row],[No用]],Q_Stat[],14,FALSE)-Statistics100!C$23)*5)/Statistics100!C$30))</f>
        <v>97.751700832679731</v>
      </c>
      <c r="K93" s="12">
        <f>IF(RZS_WS[[#This Row],[名前]]="","",(100+((VLOOKUP(RZS_WS[[#This Row],[No用]],Q_Stat[],15,FALSE)-Statistics100!D$23)*5)/Statistics100!D$30))</f>
        <v>100</v>
      </c>
      <c r="L93" s="12">
        <f>IF(RZS_WS[[#This Row],[名前]]="","",(100+((VLOOKUP(RZS_WS[[#This Row],[No用]],Q_Stat[],16,FALSE)-Statistics100!E$23)*5)/Statistics100!E$30))</f>
        <v>101.79863933385622</v>
      </c>
      <c r="M93" s="12">
        <f>IF(RZS_WS[[#This Row],[名前]]="","",(100+((VLOOKUP(RZS_WS[[#This Row],[No用]],Q_Stat[],17,FALSE)-Statistics100!F$23)*5)/Statistics100!F$30))</f>
        <v>94.941326873529391</v>
      </c>
      <c r="N93" s="12">
        <f>IF(RZS_WS[[#This Row],[名前]]="","",(100+((VLOOKUP(RZS_WS[[#This Row],[No用]],Q_Stat[],18,FALSE)-Statistics100!G$23)*5)/Statistics100!G$30))</f>
        <v>100</v>
      </c>
      <c r="O93" s="12">
        <f>IF(RZS_WS[[#This Row],[名前]]="","",(100+((VLOOKUP(RZS_WS[[#This Row],[No用]],Q_Stat[],19,FALSE)-Statistics100!H$23)*5)/Statistics100!H$30))</f>
        <v>97.002267776906308</v>
      </c>
      <c r="P93" s="12">
        <f>IF(RZS_WS[[#This Row],[名前]]="","",(100+((VLOOKUP(RZS_WS[[#This Row],[No用]],Q_Stat[],20,FALSE)-Statistics100!I$23)*5)/Statistics100!I$30))</f>
        <v>102.02346925058825</v>
      </c>
      <c r="Q93" s="12">
        <f>IF(RZS_WS[[#This Row],[名前]]="","",(100+((VLOOKUP(RZS_WS[[#This Row],[No用]],Q_Stat[],21,FALSE)-Statistics100!J$23)*5)/Statistics100!J$30))</f>
        <v>98.58002157853457</v>
      </c>
      <c r="R93" s="12">
        <f>IF(RZS_WS[[#This Row],[名前]]="","",(100+((VLOOKUP(RZS_WS[[#This Row],[No用]],Q_Stat[],22,FALSE)-Statistics100!K$23)*5)/Statistics100!K$30))</f>
        <v>96.627551249019589</v>
      </c>
      <c r="S93" s="12">
        <f>IF(RZS_WS[[#This Row],[名前]]="","",(100+((VLOOKUP(RZS_WS[[#This Row],[No用]],Q_Stat[],25,FALSE)-Statistics100!L$23)*5)/Statistics100!L$30))</f>
        <v>98.84072074185049</v>
      </c>
      <c r="T93" s="12">
        <f>IF(RZS_WS[[#This Row],[名前]]="","",(100+((VLOOKUP(RZS_WS[[#This Row],[No用]],Q_Stat[],26,FALSE)-Statistics100!M$23)*5)/Statistics100!M$30))</f>
        <v>97.924646922473599</v>
      </c>
      <c r="U93" s="12">
        <f>IF(RZS_WS[[#This Row],[名前]]="","",(100+((VLOOKUP(RZS_WS[[#This Row],[No用]],Q_Stat[],27,FALSE)-Statistics100!N$23)*5)/Statistics100!N$30))</f>
        <v>97.751700832679731</v>
      </c>
      <c r="V93" s="12">
        <f>IF(RZS_WS[[#This Row],[名前]]="","",(100+((VLOOKUP(RZS_WS[[#This Row],[No用]],Q_Stat[],28,FALSE)-Statistics100!O$23)*5)/Statistics100!O$30))</f>
        <v>100</v>
      </c>
      <c r="W93" s="12">
        <f>IF(RZS_WS[[#This Row],[名前]]="","",(100+((VLOOKUP(RZS_WS[[#This Row],[No用]],Q_Stat[],29,FALSE)-Statistics100!P$23)*5)/Statistics100!P$30))</f>
        <v>97.109329642016789</v>
      </c>
      <c r="X93" s="12">
        <f>IF(RZS_WS[[#This Row],[名前]]="","",(100+((VLOOKUP(RZS_WS[[#This Row],[No用]],Q_Stat[],30,FALSE)-Statistics100!Q$23)*5)/Statistics100!Q$30))</f>
        <v>101.12414958366014</v>
      </c>
    </row>
    <row r="94" spans="1:24" x14ac:dyDescent="0.35">
      <c r="A94" t="str">
        <f>IFERROR(Q_WS[[#This Row],[No.]],"")</f>
        <v>207</v>
      </c>
      <c r="B94" t="str">
        <f>IFERROR(Q_WS[[#This Row],[服装]],"")</f>
        <v>バーガー</v>
      </c>
      <c r="C94" t="str">
        <f>IFERROR(Q_WS[[#This Row],[名前]],"")</f>
        <v>潜尚保</v>
      </c>
      <c r="D94" t="str">
        <f>IFERROR(Q_WS[[#This Row],[じゃんけん]],"")</f>
        <v>チョキ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バーガー潜尚保ICONIC</v>
      </c>
      <c r="I94" s="12">
        <f>IF(RZS_WS[[#This Row],[名前]]="","",(100+((VLOOKUP(RZS_WS[[#This Row],[No用]],Q_Stat[],13,FALSE)-Statistics100!B$23)*5)/Statistics100!B$30))</f>
        <v>102.99773222309369</v>
      </c>
      <c r="J94" s="12">
        <f>IF(RZS_WS[[#This Row],[名前]]="","",(100+((VLOOKUP(RZS_WS[[#This Row],[No用]],Q_Stat[],14,FALSE)-Statistics100!C$23)*5)/Statistics100!C$30))</f>
        <v>101.12414958366014</v>
      </c>
      <c r="K94" s="12">
        <f>IF(RZS_WS[[#This Row],[名前]]="","",(100+((VLOOKUP(RZS_WS[[#This Row],[No用]],Q_Stat[],15,FALSE)-Statistics100!D$23)*5)/Statistics100!D$30))</f>
        <v>103.85422714397761</v>
      </c>
      <c r="L94" s="12">
        <f>IF(RZS_WS[[#This Row],[名前]]="","",(100+((VLOOKUP(RZS_WS[[#This Row],[No用]],Q_Stat[],16,FALSE)-Statistics100!E$23)*5)/Statistics100!E$30))</f>
        <v>103.59727866771243</v>
      </c>
      <c r="M94" s="12">
        <f>IF(RZS_WS[[#This Row],[名前]]="","",(100+((VLOOKUP(RZS_WS[[#This Row],[No用]],Q_Stat[],17,FALSE)-Statistics100!F$23)*5)/Statistics100!F$30))</f>
        <v>94.941326873529391</v>
      </c>
      <c r="N94" s="12">
        <f>IF(RZS_WS[[#This Row],[名前]]="","",(100+((VLOOKUP(RZS_WS[[#This Row],[No用]],Q_Stat[],18,FALSE)-Statistics100!G$23)*5)/Statistics100!G$30))</f>
        <v>103.37244875098041</v>
      </c>
      <c r="O94" s="12">
        <f>IF(RZS_WS[[#This Row],[名前]]="","",(100+((VLOOKUP(RZS_WS[[#This Row],[No用]],Q_Stat[],19,FALSE)-Statistics100!H$23)*5)/Statistics100!H$30))</f>
        <v>98.501133888453154</v>
      </c>
      <c r="P94" s="12">
        <f>IF(RZS_WS[[#This Row],[名前]]="","",(100+((VLOOKUP(RZS_WS[[#This Row],[No用]],Q_Stat[],20,FALSE)-Statistics100!I$23)*5)/Statistics100!I$30))</f>
        <v>106.07040775176473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96.627551249019589</v>
      </c>
      <c r="S94" s="12">
        <f>IF(RZS_WS[[#This Row],[名前]]="","",(100+((VLOOKUP(RZS_WS[[#This Row],[No用]],Q_Stat[],25,FALSE)-Statistics100!L$23)*5)/Statistics100!L$30))</f>
        <v>101.79161339895835</v>
      </c>
      <c r="T94" s="12">
        <f>IF(RZS_WS[[#This Row],[名前]]="","",(100+((VLOOKUP(RZS_WS[[#This Row],[No用]],Q_Stat[],26,FALSE)-Statistics100!M$23)*5)/Statistics100!M$30))</f>
        <v>100</v>
      </c>
      <c r="U94" s="12">
        <f>IF(RZS_WS[[#This Row],[名前]]="","",(100+((VLOOKUP(RZS_WS[[#This Row],[No用]],Q_Stat[],27,FALSE)-Statistics100!N$23)*5)/Statistics100!N$30))</f>
        <v>100</v>
      </c>
      <c r="V94" s="12">
        <f>IF(RZS_WS[[#This Row],[名前]]="","",(100+((VLOOKUP(RZS_WS[[#This Row],[No用]],Q_Stat[],28,FALSE)-Statistics100!O$23)*5)/Statistics100!O$30))</f>
        <v>103.85422714397761</v>
      </c>
      <c r="W94" s="12">
        <f>IF(RZS_WS[[#This Row],[名前]]="","",(100+((VLOOKUP(RZS_WS[[#This Row],[No用]],Q_Stat[],29,FALSE)-Statistics100!P$23)*5)/Statistics100!P$30))</f>
        <v>99.036443214005601</v>
      </c>
      <c r="X94" s="12">
        <f>IF(RZS_WS[[#This Row],[名前]]="","",(100+((VLOOKUP(RZS_WS[[#This Row],[No用]],Q_Stat[],30,FALSE)-Statistics100!Q$23)*5)/Statistics100!Q$30))</f>
        <v>105.62074791830068</v>
      </c>
    </row>
    <row r="95" spans="1:24" x14ac:dyDescent="0.35">
      <c r="A95" t="str">
        <f>IFERROR(Q_WS[[#This Row],[No.]],"")</f>
        <v>208</v>
      </c>
      <c r="B95" t="str">
        <f>IFERROR(Q_WS[[#This Row],[服装]],"")</f>
        <v>ユニフォーム</v>
      </c>
      <c r="C95" t="str">
        <f>IFERROR(Q_WS[[#This Row],[名前]],"")</f>
        <v>高千穂恵也</v>
      </c>
      <c r="D95" t="str">
        <f>IFERROR(Q_WS[[#This Row],[じゃんけん]],"")</f>
        <v>パー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ユニフォーム高千穂恵也ICONIC</v>
      </c>
      <c r="I95" s="12">
        <f>IF(RZS_WS[[#This Row],[名前]]="","",(100+((VLOOKUP(RZS_WS[[#This Row],[No用]],Q_Stat[],13,FALSE)-Statistics100!B$23)*5)/Statistics100!B$30))</f>
        <v>98.001511851270863</v>
      </c>
      <c r="J95" s="12">
        <f>IF(RZS_WS[[#This Row],[名前]]="","",(100+((VLOOKUP(RZS_WS[[#This Row],[No用]],Q_Stat[],14,FALSE)-Statistics100!C$23)*5)/Statistics100!C$30))</f>
        <v>100</v>
      </c>
      <c r="K95" s="12">
        <f>IF(RZS_WS[[#This Row],[名前]]="","",(100+((VLOOKUP(RZS_WS[[#This Row],[No用]],Q_Stat[],15,FALSE)-Statistics100!D$23)*5)/Statistics100!D$30))</f>
        <v>100</v>
      </c>
      <c r="L95" s="12">
        <f>IF(RZS_WS[[#This Row],[名前]]="","",(100+((VLOOKUP(RZS_WS[[#This Row],[No用]],Q_Stat[],16,FALSE)-Statistics100!E$23)*5)/Statistics100!E$30))</f>
        <v>101.79863933385622</v>
      </c>
      <c r="M95" s="12">
        <f>IF(RZS_WS[[#This Row],[名前]]="","",(100+((VLOOKUP(RZS_WS[[#This Row],[No用]],Q_Stat[],17,FALSE)-Statistics100!F$23)*5)/Statistics100!F$30))</f>
        <v>101.6862243754902</v>
      </c>
      <c r="N95" s="12">
        <f>IF(RZS_WS[[#This Row],[名前]]="","",(100+((VLOOKUP(RZS_WS[[#This Row],[No用]],Q_Stat[],18,FALSE)-Statistics100!G$23)*5)/Statistics100!G$30))</f>
        <v>96.627551249019589</v>
      </c>
      <c r="O95" s="12">
        <f>IF(RZS_WS[[#This Row],[名前]]="","",(100+((VLOOKUP(RZS_WS[[#This Row],[No用]],Q_Stat[],19,FALSE)-Statistics100!H$23)*5)/Statistics100!H$30))</f>
        <v>98.501133888453154</v>
      </c>
      <c r="P95" s="12">
        <f>IF(RZS_WS[[#This Row],[名前]]="","",(100+((VLOOKUP(RZS_WS[[#This Row],[No用]],Q_Stat[],20,FALSE)-Statistics100!I$23)*5)/Statistics100!I$30))</f>
        <v>99.325510249803912</v>
      </c>
      <c r="Q95" s="12">
        <f>IF(RZS_WS[[#This Row],[名前]]="","",(100+((VLOOKUP(RZS_WS[[#This Row],[No用]],Q_Stat[],21,FALSE)-Statistics100!J$23)*5)/Statistics100!J$30))</f>
        <v>95.740064735603696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99.894610976531865</v>
      </c>
      <c r="T95" s="12">
        <f>IF(RZS_WS[[#This Row],[名前]]="","",(100+((VLOOKUP(RZS_WS[[#This Row],[No用]],Q_Stat[],26,FALSE)-Statistics100!M$23)*5)/Statistics100!M$30))</f>
        <v>99.308215640824528</v>
      </c>
      <c r="U95" s="12">
        <f>IF(RZS_WS[[#This Row],[名前]]="","",(100+((VLOOKUP(RZS_WS[[#This Row],[No用]],Q_Stat[],27,FALSE)-Statistics100!N$23)*5)/Statistics100!N$30))</f>
        <v>101.12414958366014</v>
      </c>
      <c r="V95" s="12">
        <f>IF(RZS_WS[[#This Row],[名前]]="","",(100+((VLOOKUP(RZS_WS[[#This Row],[No用]],Q_Stat[],28,FALSE)-Statistics100!O$23)*5)/Statistics100!O$30))</f>
        <v>100</v>
      </c>
      <c r="W95" s="12">
        <f>IF(RZS_WS[[#This Row],[名前]]="","",(100+((VLOOKUP(RZS_WS[[#This Row],[No用]],Q_Stat[],29,FALSE)-Statistics100!P$23)*5)/Statistics100!P$30))</f>
        <v>96.14577285602239</v>
      </c>
      <c r="X95" s="12">
        <f>IF(RZS_WS[[#This Row],[名前]]="","",(100+((VLOOKUP(RZS_WS[[#This Row],[No用]],Q_Stat[],30,FALSE)-Statistics100!Q$23)*5)/Statistics100!Q$30))</f>
        <v>97.751700832679731</v>
      </c>
    </row>
    <row r="96" spans="1:24" x14ac:dyDescent="0.35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H a 7 M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B 2 u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r s x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B 2 u z F j F 3 u K 9 p Q A A A P Y A A A A S A A A A A A A A A A A A A A A A A A A A A A B D b 2 5 m a W c v U G F j a 2 F n Z S 5 4 b W x Q S w E C L Q A U A A I A C A A d r s x Y D 8 r p q 6 Q A A A D p A A A A E w A A A A A A A A A A A A A A A A D x A A A A W 0 N v b n R l b n R f V H l w Z X N d L n h t b F B L A Q I t A B Q A A g A I A B 2 u z F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2 L T E y V D E y O j Q 4 O j U 2 L j k 3 N T Q w N T R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x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y V D E y O j Q 4 O j U 4 L j c 0 O D Q 3 M D l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y V D E y O j Q 4 O j U 4 L j c 1 O T Q 1 N z h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T J U M T I 6 N D g 6 N T g u N z Y 1 N D U 3 O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y V D E y O j Q 4 O j U 4 L j c 3 M D Q 1 O T J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i 0 x M l Q x M j o 0 O D o 1 O C 4 3 N z c 2 M j A 0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T J U M T I 6 N D g 6 N T g u N z g y N j I x N 1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M l Q x M j o 0 O D o 1 O C 4 3 O D g 2 M T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M l Q x M j o 0 O D o 1 O C 4 4 M D Q 3 N z E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J U M T I 6 N D g 6 N T g u O D I 1 O T M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2 L T E y V D E y O j Q 4 O j U 4 L j g z M T k z N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M l Q x M j o 0 O D o 1 O C 4 4 M z c 5 M z Y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J U M T I 6 N D g 6 N T g u O D Q y O T M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M l Q x M j o 0 O D o 1 O C 4 4 N D k w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J U M T I 6 N D g 6 N T g u O D U 1 M D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J U M T I 6 N D g 6 N T g u O D Y w M D U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J U M T I 6 N D g 6 N T g u O D Y 2 M D U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Y t M T J U M T I 6 N D g 6 N T Y u O T g 2 N D A z N F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k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i 0 x M l Q x M j o 0 O D o 1 N i 4 5 O T U 1 M z E z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i 0 x M l Q x M j o 0 O D o 1 N y 4 w M D M 1 N D Y w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Y t M T J U M T I 6 N D g 6 N T c u M D E x N T Q 2 M V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W p n 0 B l b w i U v t d r 4 D B 0 u R / L O L M + j v 2 V P f x v r p S a J U I m w A A A A A D o A A A A A C A A A g A A A A Q N e E e I Q + 7 5 V X N g 7 8 a L Q y H X h I v L J N W y a p B j O O 5 w R t / y h Q A A A A i 0 w / 3 J 1 9 8 F I 5 G 4 W 9 I F B A l M e n Q 9 V l e o 4 P J / Q W 5 H 6 8 P P j L w 2 R X T 3 r u S f 6 a l Q n G l M 1 D S z m n A t 8 u / q C + / Z Z v E P h s e j e L O M B R P I y q Z P 2 G x / G b m z Z A A A A A g 4 w a Q N S / j O z U J o y D 4 x K V O M s F y U S H t M 5 l 1 5 1 G Q a 2 U U o j C q n o L o q B + 2 T n + Y b 4 m A w m q T m r o k b L A T 8 n Z n k B B I V T a U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2024-06-12T12:58:20Z</dcterms:modified>
</cp:coreProperties>
</file>