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FA19/Course lll/Excel/sem_4/"/>
    </mc:Choice>
  </mc:AlternateContent>
  <xr:revisionPtr revIDLastSave="0" documentId="13_ncr:1_{119FE13A-E20E-D84B-BB73-01DB85620C22}" xr6:coauthVersionLast="47" xr6:coauthVersionMax="47" xr10:uidLastSave="{00000000-0000-0000-0000-000000000000}"/>
  <bookViews>
    <workbookView xWindow="260" yWindow="460" windowWidth="29020" windowHeight="17540" activeTab="2" xr2:uid="{2DE75494-FFD9-2547-9B90-3E4FE01A7980}"/>
  </bookViews>
  <sheets>
    <sheet name="Сбербанк" sheetId="2" r:id="rId1"/>
    <sheet name="Газпром" sheetId="6" r:id="rId2"/>
    <sheet name="ВТБ" sheetId="7" r:id="rId3"/>
  </sheets>
  <definedNames>
    <definedName name="ГазпромТАБЛ">#REF!</definedName>
    <definedName name="ИсхТаблица">Сбербанк!$A$2:$G$95</definedName>
    <definedName name="k0">Сбербанк!$J$6</definedName>
    <definedName name="k0_g">Газпром!$J$6</definedName>
    <definedName name="k0_v">ВТБ!$J$6</definedName>
    <definedName name="k1_">Сбербанк!$M$6</definedName>
    <definedName name="k1_g">Газпром!$M$6</definedName>
    <definedName name="k1_v">ВТБ!$M$6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7" l="1"/>
  <c r="E3" i="7"/>
  <c r="E4" i="7"/>
  <c r="E5" i="7"/>
  <c r="E6" i="7"/>
  <c r="E7" i="7"/>
  <c r="E8" i="7"/>
  <c r="E95" i="7" s="1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D2" i="7"/>
  <c r="D95" i="7" s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A95" i="7"/>
  <c r="J37" i="7" s="1"/>
  <c r="B95" i="7"/>
  <c r="F95" i="7"/>
  <c r="G95" i="7"/>
  <c r="K37" i="7" s="1"/>
  <c r="J6" i="7"/>
  <c r="K38" i="7"/>
  <c r="I40" i="6" a="1"/>
  <c r="I40" i="6" s="1"/>
  <c r="M6" i="6" s="1"/>
  <c r="I41" i="6"/>
  <c r="J6" i="6"/>
  <c r="M6" i="2"/>
  <c r="J6" i="2"/>
  <c r="C81" i="6" s="1"/>
  <c r="D81" i="6" s="1"/>
  <c r="E81" i="6" s="1"/>
  <c r="J38" i="7"/>
  <c r="I37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I41" i="7"/>
  <c r="J38" i="6"/>
  <c r="C42" i="6"/>
  <c r="D42" i="6" s="1"/>
  <c r="E42" i="6" s="1"/>
  <c r="C50" i="6"/>
  <c r="D50" i="6" s="1"/>
  <c r="E50" i="6" s="1"/>
  <c r="C58" i="6"/>
  <c r="D58" i="6" s="1"/>
  <c r="E58" i="6" s="1"/>
  <c r="C66" i="6"/>
  <c r="D66" i="6" s="1"/>
  <c r="E66" i="6" s="1"/>
  <c r="C74" i="6"/>
  <c r="D74" i="6" s="1"/>
  <c r="E74" i="6" s="1"/>
  <c r="B96" i="6"/>
  <c r="K38" i="6" s="1"/>
  <c r="A96" i="6"/>
  <c r="I38" i="6" s="1"/>
  <c r="F2" i="6"/>
  <c r="F96" i="6" s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G2" i="6"/>
  <c r="G96" i="6" s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I43" i="2"/>
  <c r="A96" i="2"/>
  <c r="J37" i="2" s="1"/>
  <c r="J38" i="2"/>
  <c r="B96" i="2"/>
  <c r="K38" i="2" s="1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I38" i="7" l="1"/>
  <c r="C18" i="6"/>
  <c r="D18" i="6" s="1"/>
  <c r="E18" i="6" s="1"/>
  <c r="C73" i="6"/>
  <c r="D73" i="6" s="1"/>
  <c r="E73" i="6" s="1"/>
  <c r="C65" i="6"/>
  <c r="D65" i="6" s="1"/>
  <c r="E65" i="6" s="1"/>
  <c r="C57" i="6"/>
  <c r="D57" i="6" s="1"/>
  <c r="E57" i="6" s="1"/>
  <c r="C49" i="6"/>
  <c r="D49" i="6" s="1"/>
  <c r="E49" i="6" s="1"/>
  <c r="C41" i="6"/>
  <c r="D41" i="6" s="1"/>
  <c r="E41" i="6" s="1"/>
  <c r="C33" i="6"/>
  <c r="D33" i="6" s="1"/>
  <c r="E33" i="6" s="1"/>
  <c r="C25" i="6"/>
  <c r="D25" i="6" s="1"/>
  <c r="E25" i="6" s="1"/>
  <c r="C17" i="6"/>
  <c r="D17" i="6" s="1"/>
  <c r="E17" i="6" s="1"/>
  <c r="C9" i="6"/>
  <c r="D9" i="6" s="1"/>
  <c r="E9" i="6" s="1"/>
  <c r="C95" i="6"/>
  <c r="D95" i="6" s="1"/>
  <c r="E95" i="6" s="1"/>
  <c r="C87" i="6"/>
  <c r="D87" i="6" s="1"/>
  <c r="E87" i="6" s="1"/>
  <c r="C79" i="6"/>
  <c r="D79" i="6" s="1"/>
  <c r="E79" i="6" s="1"/>
  <c r="C72" i="6"/>
  <c r="D72" i="6" s="1"/>
  <c r="E72" i="6" s="1"/>
  <c r="C64" i="6"/>
  <c r="D64" i="6" s="1"/>
  <c r="E64" i="6" s="1"/>
  <c r="C56" i="6"/>
  <c r="D56" i="6" s="1"/>
  <c r="E56" i="6" s="1"/>
  <c r="C48" i="6"/>
  <c r="D48" i="6" s="1"/>
  <c r="E48" i="6" s="1"/>
  <c r="C40" i="6"/>
  <c r="D40" i="6" s="1"/>
  <c r="E40" i="6" s="1"/>
  <c r="C32" i="6"/>
  <c r="D32" i="6" s="1"/>
  <c r="E32" i="6" s="1"/>
  <c r="C24" i="6"/>
  <c r="D24" i="6" s="1"/>
  <c r="E24" i="6" s="1"/>
  <c r="C16" i="6"/>
  <c r="D16" i="6" s="1"/>
  <c r="E16" i="6" s="1"/>
  <c r="C8" i="6"/>
  <c r="D8" i="6" s="1"/>
  <c r="E8" i="6" s="1"/>
  <c r="C94" i="6"/>
  <c r="D94" i="6" s="1"/>
  <c r="E94" i="6" s="1"/>
  <c r="C86" i="6"/>
  <c r="D86" i="6" s="1"/>
  <c r="E86" i="6" s="1"/>
  <c r="C78" i="6"/>
  <c r="D78" i="6" s="1"/>
  <c r="E78" i="6" s="1"/>
  <c r="C2" i="6"/>
  <c r="C4" i="2"/>
  <c r="D4" i="2" s="1"/>
  <c r="E4" i="2" s="1"/>
  <c r="C71" i="6"/>
  <c r="D71" i="6" s="1"/>
  <c r="E71" i="6" s="1"/>
  <c r="C63" i="6"/>
  <c r="D63" i="6" s="1"/>
  <c r="E63" i="6" s="1"/>
  <c r="C55" i="6"/>
  <c r="D55" i="6" s="1"/>
  <c r="E55" i="6" s="1"/>
  <c r="C47" i="6"/>
  <c r="D47" i="6" s="1"/>
  <c r="E47" i="6" s="1"/>
  <c r="C39" i="6"/>
  <c r="D39" i="6" s="1"/>
  <c r="E39" i="6" s="1"/>
  <c r="C31" i="6"/>
  <c r="D31" i="6" s="1"/>
  <c r="E31" i="6" s="1"/>
  <c r="C23" i="6"/>
  <c r="D23" i="6" s="1"/>
  <c r="E23" i="6" s="1"/>
  <c r="C15" i="6"/>
  <c r="D15" i="6" s="1"/>
  <c r="E15" i="6" s="1"/>
  <c r="C7" i="6"/>
  <c r="D7" i="6" s="1"/>
  <c r="E7" i="6" s="1"/>
  <c r="C93" i="6"/>
  <c r="D93" i="6" s="1"/>
  <c r="E93" i="6" s="1"/>
  <c r="C85" i="6"/>
  <c r="D85" i="6" s="1"/>
  <c r="E85" i="6" s="1"/>
  <c r="C77" i="6"/>
  <c r="D77" i="6" s="1"/>
  <c r="E77" i="6" s="1"/>
  <c r="C80" i="6"/>
  <c r="D80" i="6" s="1"/>
  <c r="E80" i="6" s="1"/>
  <c r="C70" i="6"/>
  <c r="D70" i="6" s="1"/>
  <c r="E70" i="6" s="1"/>
  <c r="C62" i="6"/>
  <c r="D62" i="6" s="1"/>
  <c r="E62" i="6" s="1"/>
  <c r="C54" i="6"/>
  <c r="D54" i="6" s="1"/>
  <c r="E54" i="6" s="1"/>
  <c r="C46" i="6"/>
  <c r="D46" i="6" s="1"/>
  <c r="E46" i="6" s="1"/>
  <c r="C38" i="6"/>
  <c r="D38" i="6" s="1"/>
  <c r="E38" i="6" s="1"/>
  <c r="C30" i="6"/>
  <c r="D30" i="6" s="1"/>
  <c r="E30" i="6" s="1"/>
  <c r="C22" i="6"/>
  <c r="D22" i="6" s="1"/>
  <c r="E22" i="6" s="1"/>
  <c r="C14" i="6"/>
  <c r="D14" i="6" s="1"/>
  <c r="E14" i="6" s="1"/>
  <c r="C6" i="6"/>
  <c r="D6" i="6" s="1"/>
  <c r="E6" i="6" s="1"/>
  <c r="C92" i="6"/>
  <c r="D92" i="6" s="1"/>
  <c r="E92" i="6" s="1"/>
  <c r="C84" i="6"/>
  <c r="D84" i="6" s="1"/>
  <c r="E84" i="6" s="1"/>
  <c r="C26" i="6"/>
  <c r="D26" i="6" s="1"/>
  <c r="E26" i="6" s="1"/>
  <c r="C69" i="6"/>
  <c r="D69" i="6" s="1"/>
  <c r="E69" i="6" s="1"/>
  <c r="C61" i="6"/>
  <c r="D61" i="6" s="1"/>
  <c r="E61" i="6" s="1"/>
  <c r="C53" i="6"/>
  <c r="D53" i="6" s="1"/>
  <c r="E53" i="6" s="1"/>
  <c r="C45" i="6"/>
  <c r="D45" i="6" s="1"/>
  <c r="E45" i="6" s="1"/>
  <c r="C37" i="6"/>
  <c r="D37" i="6" s="1"/>
  <c r="E37" i="6" s="1"/>
  <c r="C29" i="6"/>
  <c r="D29" i="6" s="1"/>
  <c r="E29" i="6" s="1"/>
  <c r="C21" i="6"/>
  <c r="D21" i="6" s="1"/>
  <c r="E21" i="6" s="1"/>
  <c r="C13" i="6"/>
  <c r="D13" i="6" s="1"/>
  <c r="E13" i="6" s="1"/>
  <c r="C5" i="6"/>
  <c r="D5" i="6" s="1"/>
  <c r="E5" i="6" s="1"/>
  <c r="C91" i="6"/>
  <c r="D91" i="6" s="1"/>
  <c r="E91" i="6" s="1"/>
  <c r="C83" i="6"/>
  <c r="D83" i="6" s="1"/>
  <c r="E83" i="6" s="1"/>
  <c r="C34" i="6"/>
  <c r="D34" i="6" s="1"/>
  <c r="E34" i="6" s="1"/>
  <c r="C10" i="6"/>
  <c r="C76" i="6"/>
  <c r="D76" i="6" s="1"/>
  <c r="E76" i="6" s="1"/>
  <c r="C68" i="6"/>
  <c r="D68" i="6" s="1"/>
  <c r="E68" i="6" s="1"/>
  <c r="C60" i="6"/>
  <c r="D60" i="6" s="1"/>
  <c r="E60" i="6" s="1"/>
  <c r="C52" i="6"/>
  <c r="D52" i="6" s="1"/>
  <c r="E52" i="6" s="1"/>
  <c r="C44" i="6"/>
  <c r="D44" i="6" s="1"/>
  <c r="E44" i="6" s="1"/>
  <c r="C36" i="6"/>
  <c r="D36" i="6" s="1"/>
  <c r="E36" i="6" s="1"/>
  <c r="C28" i="6"/>
  <c r="D28" i="6" s="1"/>
  <c r="E28" i="6" s="1"/>
  <c r="C20" i="6"/>
  <c r="D20" i="6" s="1"/>
  <c r="C12" i="6"/>
  <c r="D12" i="6" s="1"/>
  <c r="E12" i="6" s="1"/>
  <c r="C4" i="6"/>
  <c r="D4" i="6" s="1"/>
  <c r="E4" i="6" s="1"/>
  <c r="C90" i="6"/>
  <c r="D90" i="6" s="1"/>
  <c r="E90" i="6" s="1"/>
  <c r="C82" i="6"/>
  <c r="D82" i="6" s="1"/>
  <c r="E82" i="6" s="1"/>
  <c r="C88" i="6"/>
  <c r="D88" i="6" s="1"/>
  <c r="E88" i="6" s="1"/>
  <c r="C75" i="6"/>
  <c r="D75" i="6" s="1"/>
  <c r="E75" i="6" s="1"/>
  <c r="C67" i="6"/>
  <c r="D67" i="6" s="1"/>
  <c r="E67" i="6" s="1"/>
  <c r="C59" i="6"/>
  <c r="D59" i="6" s="1"/>
  <c r="E59" i="6" s="1"/>
  <c r="C51" i="6"/>
  <c r="D51" i="6" s="1"/>
  <c r="E51" i="6" s="1"/>
  <c r="C43" i="6"/>
  <c r="D43" i="6" s="1"/>
  <c r="E43" i="6" s="1"/>
  <c r="C35" i="6"/>
  <c r="D35" i="6" s="1"/>
  <c r="E35" i="6" s="1"/>
  <c r="C27" i="6"/>
  <c r="D27" i="6" s="1"/>
  <c r="E27" i="6" s="1"/>
  <c r="C19" i="6"/>
  <c r="D19" i="6" s="1"/>
  <c r="E19" i="6" s="1"/>
  <c r="C11" i="6"/>
  <c r="D11" i="6" s="1"/>
  <c r="E11" i="6" s="1"/>
  <c r="C3" i="6"/>
  <c r="D3" i="6" s="1"/>
  <c r="E3" i="6" s="1"/>
  <c r="C89" i="6"/>
  <c r="D89" i="6" s="1"/>
  <c r="E89" i="6" s="1"/>
  <c r="I40" i="7" a="1"/>
  <c r="I40" i="7" s="1"/>
  <c r="M6" i="7" s="1"/>
  <c r="E20" i="6"/>
  <c r="D10" i="6"/>
  <c r="D2" i="6"/>
  <c r="K37" i="6"/>
  <c r="I37" i="6"/>
  <c r="J37" i="6"/>
  <c r="C87" i="2"/>
  <c r="D87" i="2" s="1"/>
  <c r="E87" i="2" s="1"/>
  <c r="C79" i="2"/>
  <c r="D79" i="2" s="1"/>
  <c r="E79" i="2" s="1"/>
  <c r="C55" i="2"/>
  <c r="D55" i="2" s="1"/>
  <c r="E55" i="2" s="1"/>
  <c r="C75" i="2"/>
  <c r="D75" i="2" s="1"/>
  <c r="E75" i="2" s="1"/>
  <c r="C35" i="2"/>
  <c r="D35" i="2" s="1"/>
  <c r="E35" i="2" s="1"/>
  <c r="C71" i="2"/>
  <c r="D71" i="2" s="1"/>
  <c r="E71" i="2" s="1"/>
  <c r="C27" i="2"/>
  <c r="D27" i="2" s="1"/>
  <c r="E27" i="2" s="1"/>
  <c r="C67" i="2"/>
  <c r="D67" i="2" s="1"/>
  <c r="E67" i="2" s="1"/>
  <c r="C19" i="2"/>
  <c r="D19" i="2" s="1"/>
  <c r="E19" i="2" s="1"/>
  <c r="C95" i="2"/>
  <c r="D95" i="2" s="1"/>
  <c r="E95" i="2" s="1"/>
  <c r="C63" i="2"/>
  <c r="D63" i="2" s="1"/>
  <c r="E63" i="2" s="1"/>
  <c r="C11" i="2"/>
  <c r="D11" i="2" s="1"/>
  <c r="E11" i="2" s="1"/>
  <c r="C91" i="2"/>
  <c r="D91" i="2" s="1"/>
  <c r="E91" i="2" s="1"/>
  <c r="C59" i="2"/>
  <c r="D59" i="2" s="1"/>
  <c r="E59" i="2" s="1"/>
  <c r="C3" i="2"/>
  <c r="D3" i="2" s="1"/>
  <c r="E3" i="2" s="1"/>
  <c r="C83" i="2"/>
  <c r="D83" i="2" s="1"/>
  <c r="E83" i="2" s="1"/>
  <c r="C51" i="2"/>
  <c r="D51" i="2" s="1"/>
  <c r="E51" i="2" s="1"/>
  <c r="C43" i="2"/>
  <c r="D43" i="2" s="1"/>
  <c r="E43" i="2" s="1"/>
  <c r="C90" i="2"/>
  <c r="D90" i="2" s="1"/>
  <c r="E90" i="2" s="1"/>
  <c r="C82" i="2"/>
  <c r="D82" i="2" s="1"/>
  <c r="E82" i="2" s="1"/>
  <c r="C74" i="2"/>
  <c r="D74" i="2" s="1"/>
  <c r="E74" i="2" s="1"/>
  <c r="C66" i="2"/>
  <c r="D66" i="2" s="1"/>
  <c r="E66" i="2" s="1"/>
  <c r="C58" i="2"/>
  <c r="D58" i="2" s="1"/>
  <c r="E58" i="2" s="1"/>
  <c r="C50" i="2"/>
  <c r="D50" i="2" s="1"/>
  <c r="E50" i="2" s="1"/>
  <c r="C42" i="2"/>
  <c r="D42" i="2" s="1"/>
  <c r="E42" i="2" s="1"/>
  <c r="C34" i="2"/>
  <c r="D34" i="2" s="1"/>
  <c r="E34" i="2" s="1"/>
  <c r="C26" i="2"/>
  <c r="D26" i="2" s="1"/>
  <c r="E26" i="2" s="1"/>
  <c r="C18" i="2"/>
  <c r="D18" i="2" s="1"/>
  <c r="E18" i="2" s="1"/>
  <c r="C10" i="2"/>
  <c r="D10" i="2" s="1"/>
  <c r="E10" i="2" s="1"/>
  <c r="C2" i="2"/>
  <c r="F96" i="2"/>
  <c r="I37" i="2" s="1"/>
  <c r="I42" i="2" s="1"/>
  <c r="C89" i="2"/>
  <c r="D89" i="2" s="1"/>
  <c r="E89" i="2" s="1"/>
  <c r="C81" i="2"/>
  <c r="D81" i="2" s="1"/>
  <c r="E81" i="2" s="1"/>
  <c r="C73" i="2"/>
  <c r="D73" i="2" s="1"/>
  <c r="E73" i="2" s="1"/>
  <c r="C65" i="2"/>
  <c r="D65" i="2" s="1"/>
  <c r="E65" i="2" s="1"/>
  <c r="C57" i="2"/>
  <c r="D57" i="2" s="1"/>
  <c r="E57" i="2" s="1"/>
  <c r="C49" i="2"/>
  <c r="D49" i="2" s="1"/>
  <c r="E49" i="2" s="1"/>
  <c r="C41" i="2"/>
  <c r="D41" i="2" s="1"/>
  <c r="E41" i="2" s="1"/>
  <c r="C33" i="2"/>
  <c r="D33" i="2" s="1"/>
  <c r="E33" i="2" s="1"/>
  <c r="C25" i="2"/>
  <c r="D25" i="2" s="1"/>
  <c r="E25" i="2" s="1"/>
  <c r="C17" i="2"/>
  <c r="D17" i="2" s="1"/>
  <c r="E17" i="2" s="1"/>
  <c r="C9" i="2"/>
  <c r="D9" i="2" s="1"/>
  <c r="E9" i="2" s="1"/>
  <c r="I38" i="2"/>
  <c r="G96" i="2"/>
  <c r="K37" i="2" s="1"/>
  <c r="C88" i="2"/>
  <c r="D88" i="2" s="1"/>
  <c r="E88" i="2" s="1"/>
  <c r="C80" i="2"/>
  <c r="D80" i="2" s="1"/>
  <c r="E80" i="2" s="1"/>
  <c r="C72" i="2"/>
  <c r="D72" i="2" s="1"/>
  <c r="E72" i="2" s="1"/>
  <c r="C64" i="2"/>
  <c r="D64" i="2" s="1"/>
  <c r="E64" i="2" s="1"/>
  <c r="C56" i="2"/>
  <c r="D56" i="2" s="1"/>
  <c r="E56" i="2" s="1"/>
  <c r="C48" i="2"/>
  <c r="D48" i="2" s="1"/>
  <c r="E48" i="2" s="1"/>
  <c r="C40" i="2"/>
  <c r="D40" i="2" s="1"/>
  <c r="E40" i="2" s="1"/>
  <c r="C32" i="2"/>
  <c r="D32" i="2" s="1"/>
  <c r="E32" i="2" s="1"/>
  <c r="C24" i="2"/>
  <c r="D24" i="2" s="1"/>
  <c r="E24" i="2" s="1"/>
  <c r="C16" i="2"/>
  <c r="D16" i="2" s="1"/>
  <c r="E16" i="2" s="1"/>
  <c r="C8" i="2"/>
  <c r="D8" i="2" s="1"/>
  <c r="E8" i="2" s="1"/>
  <c r="C47" i="2"/>
  <c r="D47" i="2" s="1"/>
  <c r="E47" i="2" s="1"/>
  <c r="C39" i="2"/>
  <c r="D39" i="2" s="1"/>
  <c r="E39" i="2" s="1"/>
  <c r="C31" i="2"/>
  <c r="D31" i="2" s="1"/>
  <c r="E31" i="2" s="1"/>
  <c r="C23" i="2"/>
  <c r="D23" i="2" s="1"/>
  <c r="E23" i="2" s="1"/>
  <c r="C15" i="2"/>
  <c r="D15" i="2" s="1"/>
  <c r="E15" i="2" s="1"/>
  <c r="C7" i="2"/>
  <c r="D7" i="2" s="1"/>
  <c r="E7" i="2" s="1"/>
  <c r="C94" i="2"/>
  <c r="D94" i="2" s="1"/>
  <c r="E94" i="2" s="1"/>
  <c r="C86" i="2"/>
  <c r="D86" i="2" s="1"/>
  <c r="E86" i="2" s="1"/>
  <c r="C78" i="2"/>
  <c r="D78" i="2" s="1"/>
  <c r="E78" i="2" s="1"/>
  <c r="C70" i="2"/>
  <c r="D70" i="2" s="1"/>
  <c r="E70" i="2" s="1"/>
  <c r="C62" i="2"/>
  <c r="D62" i="2" s="1"/>
  <c r="E62" i="2" s="1"/>
  <c r="C54" i="2"/>
  <c r="D54" i="2" s="1"/>
  <c r="E54" i="2" s="1"/>
  <c r="C46" i="2"/>
  <c r="D46" i="2" s="1"/>
  <c r="E46" i="2" s="1"/>
  <c r="C38" i="2"/>
  <c r="D38" i="2" s="1"/>
  <c r="E38" i="2" s="1"/>
  <c r="C30" i="2"/>
  <c r="D30" i="2" s="1"/>
  <c r="E30" i="2" s="1"/>
  <c r="C22" i="2"/>
  <c r="D22" i="2" s="1"/>
  <c r="E22" i="2" s="1"/>
  <c r="C14" i="2"/>
  <c r="D14" i="2" s="1"/>
  <c r="E14" i="2" s="1"/>
  <c r="C6" i="2"/>
  <c r="D6" i="2" s="1"/>
  <c r="E6" i="2" s="1"/>
  <c r="C93" i="2"/>
  <c r="D93" i="2" s="1"/>
  <c r="E93" i="2" s="1"/>
  <c r="C85" i="2"/>
  <c r="D85" i="2" s="1"/>
  <c r="E85" i="2" s="1"/>
  <c r="C77" i="2"/>
  <c r="D77" i="2" s="1"/>
  <c r="E77" i="2" s="1"/>
  <c r="C69" i="2"/>
  <c r="D69" i="2" s="1"/>
  <c r="E69" i="2" s="1"/>
  <c r="C61" i="2"/>
  <c r="D61" i="2" s="1"/>
  <c r="E61" i="2" s="1"/>
  <c r="C53" i="2"/>
  <c r="D53" i="2" s="1"/>
  <c r="E53" i="2" s="1"/>
  <c r="C45" i="2"/>
  <c r="D45" i="2" s="1"/>
  <c r="E45" i="2" s="1"/>
  <c r="C37" i="2"/>
  <c r="D37" i="2" s="1"/>
  <c r="E37" i="2" s="1"/>
  <c r="C29" i="2"/>
  <c r="D29" i="2" s="1"/>
  <c r="E29" i="2" s="1"/>
  <c r="C21" i="2"/>
  <c r="D21" i="2" s="1"/>
  <c r="E21" i="2" s="1"/>
  <c r="C13" i="2"/>
  <c r="D13" i="2" s="1"/>
  <c r="E13" i="2" s="1"/>
  <c r="C5" i="2"/>
  <c r="D5" i="2" s="1"/>
  <c r="E5" i="2" s="1"/>
  <c r="C92" i="2"/>
  <c r="D92" i="2" s="1"/>
  <c r="E92" i="2" s="1"/>
  <c r="C84" i="2"/>
  <c r="D84" i="2" s="1"/>
  <c r="E84" i="2" s="1"/>
  <c r="C76" i="2"/>
  <c r="D76" i="2" s="1"/>
  <c r="E76" i="2" s="1"/>
  <c r="C68" i="2"/>
  <c r="D68" i="2" s="1"/>
  <c r="E68" i="2" s="1"/>
  <c r="C60" i="2"/>
  <c r="D60" i="2" s="1"/>
  <c r="E60" i="2" s="1"/>
  <c r="C52" i="2"/>
  <c r="D52" i="2" s="1"/>
  <c r="E52" i="2" s="1"/>
  <c r="C44" i="2"/>
  <c r="D44" i="2" s="1"/>
  <c r="E44" i="2" s="1"/>
  <c r="C36" i="2"/>
  <c r="D36" i="2" s="1"/>
  <c r="E36" i="2" s="1"/>
  <c r="C28" i="2"/>
  <c r="D28" i="2" s="1"/>
  <c r="E28" i="2" s="1"/>
  <c r="C20" i="2"/>
  <c r="D20" i="2" s="1"/>
  <c r="E20" i="2" s="1"/>
  <c r="C12" i="2"/>
  <c r="D12" i="2" s="1"/>
  <c r="E12" i="2" s="1"/>
  <c r="C4" i="7" l="1"/>
  <c r="C12" i="7"/>
  <c r="C20" i="7"/>
  <c r="C28" i="7"/>
  <c r="C36" i="7"/>
  <c r="C44" i="7"/>
  <c r="C52" i="7"/>
  <c r="C60" i="7"/>
  <c r="C68" i="7"/>
  <c r="C76" i="7"/>
  <c r="C84" i="7"/>
  <c r="C92" i="7"/>
  <c r="C35" i="7"/>
  <c r="C5" i="7"/>
  <c r="C13" i="7"/>
  <c r="C21" i="7"/>
  <c r="C29" i="7"/>
  <c r="C37" i="7"/>
  <c r="C45" i="7"/>
  <c r="C53" i="7"/>
  <c r="C61" i="7"/>
  <c r="C69" i="7"/>
  <c r="C77" i="7"/>
  <c r="C85" i="7"/>
  <c r="C93" i="7"/>
  <c r="C43" i="7"/>
  <c r="C51" i="7"/>
  <c r="C91" i="7"/>
  <c r="C6" i="7"/>
  <c r="C14" i="7"/>
  <c r="C22" i="7"/>
  <c r="C30" i="7"/>
  <c r="C38" i="7"/>
  <c r="C46" i="7"/>
  <c r="C54" i="7"/>
  <c r="C62" i="7"/>
  <c r="C70" i="7"/>
  <c r="C78" i="7"/>
  <c r="C86" i="7"/>
  <c r="C94" i="7"/>
  <c r="C27" i="7"/>
  <c r="C83" i="7"/>
  <c r="C7" i="7"/>
  <c r="C15" i="7"/>
  <c r="C23" i="7"/>
  <c r="C31" i="7"/>
  <c r="C39" i="7"/>
  <c r="C47" i="7"/>
  <c r="C55" i="7"/>
  <c r="C63" i="7"/>
  <c r="C71" i="7"/>
  <c r="C79" i="7"/>
  <c r="C87" i="7"/>
  <c r="C11" i="7"/>
  <c r="C75" i="7"/>
  <c r="C8" i="7"/>
  <c r="C16" i="7"/>
  <c r="C24" i="7"/>
  <c r="C32" i="7"/>
  <c r="C40" i="7"/>
  <c r="C48" i="7"/>
  <c r="C56" i="7"/>
  <c r="C64" i="7"/>
  <c r="C72" i="7"/>
  <c r="C80" i="7"/>
  <c r="C88" i="7"/>
  <c r="C19" i="7"/>
  <c r="C67" i="7"/>
  <c r="C9" i="7"/>
  <c r="C17" i="7"/>
  <c r="C25" i="7"/>
  <c r="C33" i="7"/>
  <c r="C41" i="7"/>
  <c r="C49" i="7"/>
  <c r="C57" i="7"/>
  <c r="C65" i="7"/>
  <c r="C73" i="7"/>
  <c r="C81" i="7"/>
  <c r="C89" i="7"/>
  <c r="C2" i="7"/>
  <c r="C95" i="7" s="1"/>
  <c r="C10" i="7"/>
  <c r="C18" i="7"/>
  <c r="C26" i="7"/>
  <c r="C34" i="7"/>
  <c r="C42" i="7"/>
  <c r="C50" i="7"/>
  <c r="C58" i="7"/>
  <c r="C66" i="7"/>
  <c r="C74" i="7"/>
  <c r="C82" i="7"/>
  <c r="C90" i="7"/>
  <c r="C3" i="7"/>
  <c r="C59" i="7"/>
  <c r="C96" i="6"/>
  <c r="D96" i="6"/>
  <c r="E2" i="6"/>
  <c r="E10" i="6"/>
  <c r="D2" i="2"/>
  <c r="E2" i="2" s="1"/>
  <c r="E96" i="2" s="1"/>
  <c r="C96" i="2"/>
  <c r="D96" i="2" l="1"/>
  <c r="E96" i="6"/>
</calcChain>
</file>

<file path=xl/sharedStrings.xml><?xml version="1.0" encoding="utf-8"?>
<sst xmlns="http://schemas.openxmlformats.org/spreadsheetml/2006/main" count="138" uniqueCount="47">
  <si>
    <t>Сбербанк-цена</t>
  </si>
  <si>
    <t>Сбербанк-объем</t>
  </si>
  <si>
    <t>Газпром-цена</t>
  </si>
  <si>
    <t>Газпром-объем</t>
  </si>
  <si>
    <t>h=k1*x+k0</t>
  </si>
  <si>
    <t>y-h</t>
  </si>
  <si>
    <t>(y-h)^2</t>
  </si>
  <si>
    <t>x^2</t>
  </si>
  <si>
    <t>x*y</t>
  </si>
  <si>
    <t>k0</t>
  </si>
  <si>
    <t>k1</t>
  </si>
  <si>
    <t>b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</si>
  <si>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</si>
  <si>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</si>
  <si>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</si>
  <si>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</si>
  <si>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</si>
  <si>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</si>
  <si>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</si>
  <si>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</si>
  <si>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</si>
  <si>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</si>
  <si>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</si>
  <si>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</si>
  <si>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</si>
  <si>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</si>
  <si>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</si>
  <si>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</si>
  <si>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</si>
  <si>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</si>
  <si>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</si>
  <si>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</si>
  <si>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</si>
  <si>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</si>
  <si>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</si>
  <si>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</si>
  <si>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</si>
  <si>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</si>
  <si>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</si>
  <si>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</si>
  <si>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</si>
  <si>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Стандартные остатки</t>
  </si>
  <si>
    <t>ВЫВОД ВЕРОЯТНОСТИ</t>
  </si>
  <si>
    <t>Персентиль</t>
  </si>
  <si>
    <t>Y</t>
  </si>
  <si>
    <t>Втб ао цена</t>
  </si>
  <si>
    <t>Втб ао 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</si>
</sst>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₽&quot;"/>
  </numFmts>
  <fonts count="5" x14ac:knownFonts="1">
    <font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7" tint="0.39997558519241921"/>
      </bottom>
      <diagonal/>
    </border>
    <border>
      <left style="thin">
        <color theme="4"/>
      </left>
      <right/>
      <top/>
      <bottom style="thin">
        <color theme="7" tint="0.39997558519241921"/>
      </bottom>
      <diagonal/>
    </border>
    <border>
      <left/>
      <right style="thin">
        <color theme="4"/>
      </right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3" xfId="0" applyFont="1" applyFill="1" applyBorder="1"/>
    <xf numFmtId="3" fontId="1" fillId="2" borderId="4" xfId="0" applyNumberFormat="1" applyFont="1" applyFill="1" applyBorder="1"/>
    <xf numFmtId="4" fontId="0" fillId="0" borderId="3" xfId="0" applyNumberFormat="1" applyBorder="1"/>
    <xf numFmtId="4" fontId="0" fillId="0" borderId="4" xfId="0" applyNumberFormat="1" applyBorder="1"/>
    <xf numFmtId="4" fontId="0" fillId="0" borderId="0" xfId="0" applyNumberFormat="1"/>
    <xf numFmtId="0" fontId="0" fillId="0" borderId="0" xfId="0" applyBorder="1"/>
    <xf numFmtId="4" fontId="0" fillId="0" borderId="0" xfId="0" applyNumberFormat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Continuous"/>
    </xf>
    <xf numFmtId="0" fontId="4" fillId="0" borderId="0" xfId="0" applyFont="1"/>
    <xf numFmtId="4" fontId="4" fillId="0" borderId="0" xfId="0" applyNumberFormat="1" applyFont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0" fillId="0" borderId="7" xfId="0" applyFont="1" applyFill="1" applyBorder="1"/>
    <xf numFmtId="3" fontId="0" fillId="0" borderId="7" xfId="0" applyNumberFormat="1" applyFont="1" applyFill="1" applyBorder="1"/>
    <xf numFmtId="0" fontId="1" fillId="2" borderId="8" xfId="0" applyFont="1" applyFill="1" applyBorder="1"/>
    <xf numFmtId="3" fontId="1" fillId="2" borderId="9" xfId="0" applyNumberFormat="1" applyFont="1" applyFill="1" applyBorder="1"/>
    <xf numFmtId="0" fontId="3" fillId="2" borderId="10" xfId="0" applyFont="1" applyFill="1" applyBorder="1"/>
    <xf numFmtId="0" fontId="3" fillId="2" borderId="9" xfId="0" applyFont="1" applyFill="1" applyBorder="1"/>
    <xf numFmtId="0" fontId="0" fillId="0" borderId="2" xfId="0" applyFont="1" applyFill="1" applyBorder="1"/>
    <xf numFmtId="3" fontId="0" fillId="0" borderId="0" xfId="0" applyNumberFormat="1"/>
    <xf numFmtId="0" fontId="0" fillId="0" borderId="0" xfId="0" applyFill="1"/>
    <xf numFmtId="165" fontId="0" fillId="0" borderId="0" xfId="0" applyNumberFormat="1"/>
    <xf numFmtId="2" fontId="0" fillId="0" borderId="0" xfId="0" applyNumberFormat="1"/>
    <xf numFmtId="2" fontId="0" fillId="0" borderId="0" xfId="0" applyNumberFormat="1" applyBorder="1"/>
    <xf numFmtId="165" fontId="0" fillId="0" borderId="0" xfId="0" applyNumberFormat="1" applyBorder="1"/>
    <xf numFmtId="165" fontId="0" fillId="0" borderId="0" xfId="0" applyNumberFormat="1" applyFont="1"/>
    <xf numFmtId="165" fontId="0" fillId="0" borderId="0" xfId="0" applyNumberFormat="1" applyFont="1" applyBorder="1"/>
  </cellXfs>
  <cellStyles count="1">
    <cellStyle name="Обычный" xfId="0" builtinId="0"/>
  </cellStyles>
  <dxfs count="43"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numFmt numFmtId="2" formatCode="0.00"/>
    </dxf>
    <dxf>
      <numFmt numFmtId="165" formatCode="#,##0.00\ &quot;₽&quot;"/>
    </dxf>
    <dxf>
      <numFmt numFmtId="165" formatCode="#,##0.00\ &quot;₽&quot;"/>
      <border diagonalUp="0" diagonalDown="0" outline="0">
        <left/>
        <right/>
        <top/>
        <bottom/>
      </border>
    </dxf>
    <dxf>
      <numFmt numFmtId="2" formatCode="0.00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165" formatCode="#,##0.00\ &quot;₽&quot;"/>
    </dxf>
    <dxf>
      <numFmt numFmtId="2" formatCode="0.00"/>
    </dxf>
    <dxf>
      <border outline="0">
        <top style="thin">
          <color theme="4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4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38637249551728"/>
          <c:y val="1.5292479108635097E-2"/>
          <c:w val="0.79913339050440479"/>
          <c:h val="0.84105783782598209"/>
        </c:manualLayout>
      </c:layout>
      <c:scatterChart>
        <c:scatterStyle val="lineMarker"/>
        <c:varyColors val="0"/>
        <c:ser>
          <c:idx val="0"/>
          <c:order val="0"/>
          <c:tx>
            <c:strRef>
              <c:f>Сбербанк!$B$1</c:f>
              <c:strCache>
                <c:ptCount val="1"/>
                <c:pt idx="0">
                  <c:v>Сбербанк-объем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Сбербанк!$A$2:$A$96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Сбербанк!$B$2:$B$96</c:f>
              <c:numCache>
                <c:formatCode>#,##0.00</c:formatCode>
                <c:ptCount val="94"/>
                <c:pt idx="0">
                  <c:v>4337561310</c:v>
                </c:pt>
                <c:pt idx="1">
                  <c:v>2691982770</c:v>
                </c:pt>
                <c:pt idx="2">
                  <c:v>2785656310</c:v>
                </c:pt>
                <c:pt idx="3">
                  <c:v>2030051460</c:v>
                </c:pt>
                <c:pt idx="4">
                  <c:v>2690621070</c:v>
                </c:pt>
                <c:pt idx="5">
                  <c:v>1885405260</c:v>
                </c:pt>
                <c:pt idx="6">
                  <c:v>4013046200</c:v>
                </c:pt>
                <c:pt idx="7">
                  <c:v>3076887590</c:v>
                </c:pt>
                <c:pt idx="8">
                  <c:v>1830904250</c:v>
                </c:pt>
                <c:pt idx="9">
                  <c:v>2551370010</c:v>
                </c:pt>
                <c:pt idx="10">
                  <c:v>2488111940</c:v>
                </c:pt>
                <c:pt idx="11">
                  <c:v>2008042110</c:v>
                </c:pt>
                <c:pt idx="12">
                  <c:v>2891411920</c:v>
                </c:pt>
                <c:pt idx="13">
                  <c:v>3583789870</c:v>
                </c:pt>
                <c:pt idx="14">
                  <c:v>2905609940</c:v>
                </c:pt>
                <c:pt idx="15">
                  <c:v>3217030850</c:v>
                </c:pt>
                <c:pt idx="16">
                  <c:v>4898591710</c:v>
                </c:pt>
                <c:pt idx="17">
                  <c:v>3001439250</c:v>
                </c:pt>
                <c:pt idx="18">
                  <c:v>2008494660</c:v>
                </c:pt>
                <c:pt idx="19">
                  <c:v>1414145480</c:v>
                </c:pt>
                <c:pt idx="20">
                  <c:v>2849625200</c:v>
                </c:pt>
                <c:pt idx="21">
                  <c:v>1510458530</c:v>
                </c:pt>
                <c:pt idx="22">
                  <c:v>1191987680</c:v>
                </c:pt>
                <c:pt idx="23">
                  <c:v>1603984540</c:v>
                </c:pt>
                <c:pt idx="24">
                  <c:v>1427259190</c:v>
                </c:pt>
                <c:pt idx="25">
                  <c:v>1721040080</c:v>
                </c:pt>
                <c:pt idx="26">
                  <c:v>2060145470</c:v>
                </c:pt>
                <c:pt idx="27">
                  <c:v>1926407650</c:v>
                </c:pt>
                <c:pt idx="28">
                  <c:v>1691490080</c:v>
                </c:pt>
                <c:pt idx="29">
                  <c:v>1514417130</c:v>
                </c:pt>
                <c:pt idx="30">
                  <c:v>1576313810</c:v>
                </c:pt>
                <c:pt idx="31">
                  <c:v>1563416090</c:v>
                </c:pt>
                <c:pt idx="32">
                  <c:v>1880909280</c:v>
                </c:pt>
                <c:pt idx="33">
                  <c:v>1935002670</c:v>
                </c:pt>
                <c:pt idx="34">
                  <c:v>2286927960</c:v>
                </c:pt>
                <c:pt idx="35">
                  <c:v>1659044880</c:v>
                </c:pt>
                <c:pt idx="36">
                  <c:v>1612212000</c:v>
                </c:pt>
                <c:pt idx="37">
                  <c:v>2184006710</c:v>
                </c:pt>
                <c:pt idx="38">
                  <c:v>1723351580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1249106940</c:v>
                </c:pt>
                <c:pt idx="47">
                  <c:v>777345030</c:v>
                </c:pt>
                <c:pt idx="48">
                  <c:v>825457660</c:v>
                </c:pt>
                <c:pt idx="49">
                  <c:v>817013500</c:v>
                </c:pt>
                <c:pt idx="50">
                  <c:v>1113951960</c:v>
                </c:pt>
                <c:pt idx="51">
                  <c:v>980688220</c:v>
                </c:pt>
                <c:pt idx="52">
                  <c:v>1056892340</c:v>
                </c:pt>
                <c:pt idx="53">
                  <c:v>965518550</c:v>
                </c:pt>
                <c:pt idx="54">
                  <c:v>989614480</c:v>
                </c:pt>
                <c:pt idx="55">
                  <c:v>1204467020</c:v>
                </c:pt>
                <c:pt idx="56">
                  <c:v>1774159080</c:v>
                </c:pt>
                <c:pt idx="57">
                  <c:v>1066034430</c:v>
                </c:pt>
                <c:pt idx="58">
                  <c:v>1147560770</c:v>
                </c:pt>
                <c:pt idx="59">
                  <c:v>3001736660</c:v>
                </c:pt>
                <c:pt idx="60">
                  <c:v>1809539820</c:v>
                </c:pt>
                <c:pt idx="61">
                  <c:v>943835730</c:v>
                </c:pt>
                <c:pt idx="62">
                  <c:v>745570010</c:v>
                </c:pt>
                <c:pt idx="63">
                  <c:v>1567568800</c:v>
                </c:pt>
                <c:pt idx="64">
                  <c:v>1768222700</c:v>
                </c:pt>
                <c:pt idx="65">
                  <c:v>1359045230</c:v>
                </c:pt>
                <c:pt idx="66">
                  <c:v>1522268370</c:v>
                </c:pt>
                <c:pt idx="67">
                  <c:v>1723030800</c:v>
                </c:pt>
                <c:pt idx="68">
                  <c:v>1316335610</c:v>
                </c:pt>
                <c:pt idx="69">
                  <c:v>1071950350</c:v>
                </c:pt>
                <c:pt idx="70">
                  <c:v>1232290050</c:v>
                </c:pt>
                <c:pt idx="71">
                  <c:v>1181569160</c:v>
                </c:pt>
                <c:pt idx="72">
                  <c:v>1083180080</c:v>
                </c:pt>
                <c:pt idx="73">
                  <c:v>1088082960</c:v>
                </c:pt>
                <c:pt idx="74">
                  <c:v>1043698830</c:v>
                </c:pt>
                <c:pt idx="75">
                  <c:v>115404410</c:v>
                </c:pt>
                <c:pt idx="76">
                  <c:v>1024861980</c:v>
                </c:pt>
                <c:pt idx="77">
                  <c:v>1254395580</c:v>
                </c:pt>
                <c:pt idx="78">
                  <c:v>1567685270</c:v>
                </c:pt>
                <c:pt idx="79">
                  <c:v>683304570</c:v>
                </c:pt>
                <c:pt idx="80">
                  <c:v>1324478990</c:v>
                </c:pt>
                <c:pt idx="81">
                  <c:v>2377768000</c:v>
                </c:pt>
                <c:pt idx="82">
                  <c:v>796864790</c:v>
                </c:pt>
                <c:pt idx="83">
                  <c:v>1029175370</c:v>
                </c:pt>
                <c:pt idx="84">
                  <c:v>919822790</c:v>
                </c:pt>
                <c:pt idx="85">
                  <c:v>780046580</c:v>
                </c:pt>
                <c:pt idx="86">
                  <c:v>643074600</c:v>
                </c:pt>
                <c:pt idx="87">
                  <c:v>894393040</c:v>
                </c:pt>
                <c:pt idx="88">
                  <c:v>1023004980</c:v>
                </c:pt>
                <c:pt idx="89">
                  <c:v>747137520</c:v>
                </c:pt>
                <c:pt idx="90">
                  <c:v>993704870</c:v>
                </c:pt>
                <c:pt idx="91">
                  <c:v>666344120</c:v>
                </c:pt>
                <c:pt idx="92">
                  <c:v>840068720</c:v>
                </c:pt>
                <c:pt idx="93">
                  <c:v>1032064390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2-DF48-8943-659FFE7424A6}"/>
            </c:ext>
          </c:extLst>
        </c:ser>
        <c:ser>
          <c:idx val="1"/>
          <c:order val="1"/>
          <c:tx>
            <c:v>Тренд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Сбербанк!$A$2:$A$95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Сбербанк!$C$2:$C$95</c:f>
              <c:numCache>
                <c:formatCode>#,##0.00</c:formatCode>
                <c:ptCount val="94"/>
                <c:pt idx="0">
                  <c:v>2542716886.4484148</c:v>
                </c:pt>
                <c:pt idx="1">
                  <c:v>2482216346.7365713</c:v>
                </c:pt>
                <c:pt idx="2">
                  <c:v>2469566233.8877316</c:v>
                </c:pt>
                <c:pt idx="3">
                  <c:v>2383673800.9937968</c:v>
                </c:pt>
                <c:pt idx="4">
                  <c:v>2383215463.5717373</c:v>
                </c:pt>
                <c:pt idx="5">
                  <c:v>2382757126.1496782</c:v>
                </c:pt>
                <c:pt idx="6">
                  <c:v>2381382113.8834996</c:v>
                </c:pt>
                <c:pt idx="7">
                  <c:v>2374873722.4902558</c:v>
                </c:pt>
                <c:pt idx="8">
                  <c:v>2372215365.4423113</c:v>
                </c:pt>
                <c:pt idx="9">
                  <c:v>2371298690.5981927</c:v>
                </c:pt>
                <c:pt idx="10">
                  <c:v>2363048617.001123</c:v>
                </c:pt>
                <c:pt idx="11">
                  <c:v>2355715218.2481723</c:v>
                </c:pt>
                <c:pt idx="12">
                  <c:v>2353698533.5911107</c:v>
                </c:pt>
                <c:pt idx="13">
                  <c:v>2350123501.6990476</c:v>
                </c:pt>
                <c:pt idx="14">
                  <c:v>2347190142.1978669</c:v>
                </c:pt>
                <c:pt idx="15">
                  <c:v>2341048420.7422709</c:v>
                </c:pt>
                <c:pt idx="16">
                  <c:v>2277797856.4980712</c:v>
                </c:pt>
                <c:pt idx="17">
                  <c:v>2271381132.5892391</c:v>
                </c:pt>
                <c:pt idx="18">
                  <c:v>2271381132.5892391</c:v>
                </c:pt>
                <c:pt idx="19">
                  <c:v>2237189160.9036069</c:v>
                </c:pt>
                <c:pt idx="20">
                  <c:v>2216105639.4888735</c:v>
                </c:pt>
                <c:pt idx="21">
                  <c:v>2210330587.9709249</c:v>
                </c:pt>
                <c:pt idx="22">
                  <c:v>2194013775.7456098</c:v>
                </c:pt>
                <c:pt idx="23">
                  <c:v>2187230381.8991303</c:v>
                </c:pt>
                <c:pt idx="24">
                  <c:v>2177880298.4891181</c:v>
                </c:pt>
                <c:pt idx="25">
                  <c:v>2173021921.8152885</c:v>
                </c:pt>
                <c:pt idx="26">
                  <c:v>2161380151.2949791</c:v>
                </c:pt>
                <c:pt idx="27">
                  <c:v>2148913373.4149628</c:v>
                </c:pt>
                <c:pt idx="28">
                  <c:v>2139746624.9737744</c:v>
                </c:pt>
                <c:pt idx="29">
                  <c:v>2138004942.769949</c:v>
                </c:pt>
                <c:pt idx="30">
                  <c:v>2137454937.8634775</c:v>
                </c:pt>
                <c:pt idx="31">
                  <c:v>2118571436.0746293</c:v>
                </c:pt>
                <c:pt idx="32">
                  <c:v>2117746428.7149224</c:v>
                </c:pt>
                <c:pt idx="33">
                  <c:v>2104179641.0219638</c:v>
                </c:pt>
                <c:pt idx="34">
                  <c:v>2102712961.2713735</c:v>
                </c:pt>
                <c:pt idx="35">
                  <c:v>2101154614.0363717</c:v>
                </c:pt>
                <c:pt idx="36">
                  <c:v>2087404491.374589</c:v>
                </c:pt>
                <c:pt idx="37">
                  <c:v>2065129292.6625013</c:v>
                </c:pt>
                <c:pt idx="38">
                  <c:v>2041387414.1998234</c:v>
                </c:pt>
                <c:pt idx="39">
                  <c:v>2038545722.1830549</c:v>
                </c:pt>
                <c:pt idx="40">
                  <c:v>1913419605.960834</c:v>
                </c:pt>
                <c:pt idx="41">
                  <c:v>1830827202.5057268</c:v>
                </c:pt>
                <c:pt idx="42">
                  <c:v>1826793833.1916041</c:v>
                </c:pt>
                <c:pt idx="43">
                  <c:v>1770418330.2782955</c:v>
                </c:pt>
                <c:pt idx="44">
                  <c:v>1730542974.5591264</c:v>
                </c:pt>
                <c:pt idx="45">
                  <c:v>1713676157.4273396</c:v>
                </c:pt>
                <c:pt idx="46">
                  <c:v>1711384470.3170426</c:v>
                </c:pt>
                <c:pt idx="47">
                  <c:v>1694792655.6384916</c:v>
                </c:pt>
                <c:pt idx="48">
                  <c:v>1616600291.4351549</c:v>
                </c:pt>
                <c:pt idx="49">
                  <c:v>1615958619.0442717</c:v>
                </c:pt>
                <c:pt idx="50">
                  <c:v>1591208398.2530634</c:v>
                </c:pt>
                <c:pt idx="51">
                  <c:v>1581124974.967756</c:v>
                </c:pt>
                <c:pt idx="52">
                  <c:v>1537766254.840935</c:v>
                </c:pt>
                <c:pt idx="53">
                  <c:v>1531624533.385339</c:v>
                </c:pt>
                <c:pt idx="54">
                  <c:v>1467457294.2970204</c:v>
                </c:pt>
                <c:pt idx="55">
                  <c:v>1457832208.4337726</c:v>
                </c:pt>
                <c:pt idx="56">
                  <c:v>1377623159.5733745</c:v>
                </c:pt>
                <c:pt idx="57">
                  <c:v>1363781369.4271801</c:v>
                </c:pt>
                <c:pt idx="58">
                  <c:v>1338206141.2762644</c:v>
                </c:pt>
                <c:pt idx="59">
                  <c:v>1329864400.194783</c:v>
                </c:pt>
                <c:pt idx="60">
                  <c:v>1306122521.7321053</c:v>
                </c:pt>
                <c:pt idx="61">
                  <c:v>1282930648.1758986</c:v>
                </c:pt>
                <c:pt idx="62">
                  <c:v>1269455527.9673517</c:v>
                </c:pt>
                <c:pt idx="63">
                  <c:v>1267622178.2791142</c:v>
                </c:pt>
                <c:pt idx="64">
                  <c:v>1237830245.845252</c:v>
                </c:pt>
                <c:pt idx="65">
                  <c:v>1208038313.4113898</c:v>
                </c:pt>
                <c:pt idx="66">
                  <c:v>1183104757.6513577</c:v>
                </c:pt>
                <c:pt idx="67">
                  <c:v>1182188082.8072388</c:v>
                </c:pt>
                <c:pt idx="68">
                  <c:v>1141121049.7907147</c:v>
                </c:pt>
                <c:pt idx="69">
                  <c:v>1080437175.1100481</c:v>
                </c:pt>
                <c:pt idx="70">
                  <c:v>1076403805.7959249</c:v>
                </c:pt>
                <c:pt idx="71">
                  <c:v>1048536890.5347123</c:v>
                </c:pt>
                <c:pt idx="72">
                  <c:v>1047620215.6905937</c:v>
                </c:pt>
                <c:pt idx="73">
                  <c:v>1014894923.7555513</c:v>
                </c:pt>
                <c:pt idx="74">
                  <c:v>1007653192.4870121</c:v>
                </c:pt>
                <c:pt idx="75">
                  <c:v>1005728175.3143628</c:v>
                </c:pt>
                <c:pt idx="76">
                  <c:v>990786375.3552258</c:v>
                </c:pt>
                <c:pt idx="77">
                  <c:v>989411363.08904767</c:v>
                </c:pt>
                <c:pt idx="78">
                  <c:v>981894629.36727309</c:v>
                </c:pt>
                <c:pt idx="79">
                  <c:v>981619626.91403747</c:v>
                </c:pt>
                <c:pt idx="80">
                  <c:v>973369553.31696796</c:v>
                </c:pt>
                <c:pt idx="81">
                  <c:v>965211147.20431018</c:v>
                </c:pt>
                <c:pt idx="82">
                  <c:v>958611088.32665467</c:v>
                </c:pt>
                <c:pt idx="83">
                  <c:v>907918969.44688296</c:v>
                </c:pt>
                <c:pt idx="84">
                  <c:v>906818959.63394022</c:v>
                </c:pt>
                <c:pt idx="85">
                  <c:v>905627282.33658576</c:v>
                </c:pt>
                <c:pt idx="86">
                  <c:v>901135575.60040379</c:v>
                </c:pt>
                <c:pt idx="87">
                  <c:v>892793834.51892233</c:v>
                </c:pt>
                <c:pt idx="88">
                  <c:v>859243535.22417259</c:v>
                </c:pt>
                <c:pt idx="89">
                  <c:v>734117419.00195169</c:v>
                </c:pt>
                <c:pt idx="90">
                  <c:v>721558973.63752365</c:v>
                </c:pt>
                <c:pt idx="91">
                  <c:v>710742210.47692156</c:v>
                </c:pt>
                <c:pt idx="92">
                  <c:v>621366413.17533493</c:v>
                </c:pt>
                <c:pt idx="93">
                  <c:v>548949100.48994732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A2-DF48-8943-659FFE742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440672"/>
        <c:axId val="904416688"/>
      </c:scatterChart>
      <c:valAx>
        <c:axId val="90444067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416688"/>
        <c:crosses val="autoZero"/>
        <c:crossBetween val="midCat"/>
      </c:valAx>
      <c:valAx>
        <c:axId val="9044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4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Сбербанк!$A$2:$A$95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Сбербанк!$K$71:$K$164</c:f>
              <c:numCache>
                <c:formatCode>General</c:formatCode>
                <c:ptCount val="94"/>
                <c:pt idx="0">
                  <c:v>1794844423.5515828</c:v>
                </c:pt>
                <c:pt idx="1">
                  <c:v>209766423.26342583</c:v>
                </c:pt>
                <c:pt idx="2">
                  <c:v>316090076.11226559</c:v>
                </c:pt>
                <c:pt idx="3">
                  <c:v>-353622340.99379969</c:v>
                </c:pt>
                <c:pt idx="4">
                  <c:v>307405606.42825937</c:v>
                </c:pt>
                <c:pt idx="5">
                  <c:v>-497351866.14968109</c:v>
                </c:pt>
                <c:pt idx="6">
                  <c:v>1631664086.116497</c:v>
                </c:pt>
                <c:pt idx="7">
                  <c:v>702013867.50974083</c:v>
                </c:pt>
                <c:pt idx="8">
                  <c:v>-541311115.44231462</c:v>
                </c:pt>
                <c:pt idx="9">
                  <c:v>180071319.40180445</c:v>
                </c:pt>
                <c:pt idx="10">
                  <c:v>125063322.99887371</c:v>
                </c:pt>
                <c:pt idx="11">
                  <c:v>-347673108.24817562</c:v>
                </c:pt>
                <c:pt idx="12">
                  <c:v>537713386.40888596</c:v>
                </c:pt>
                <c:pt idx="13">
                  <c:v>1233666368.3009491</c:v>
                </c:pt>
                <c:pt idx="14">
                  <c:v>558419797.80212975</c:v>
                </c:pt>
                <c:pt idx="15">
                  <c:v>875982429.25772572</c:v>
                </c:pt>
                <c:pt idx="16">
                  <c:v>2620793853.501925</c:v>
                </c:pt>
                <c:pt idx="17">
                  <c:v>730058117.41075706</c:v>
                </c:pt>
                <c:pt idx="18">
                  <c:v>-262886472.58924294</c:v>
                </c:pt>
                <c:pt idx="19">
                  <c:v>-823043680.90361071</c:v>
                </c:pt>
                <c:pt idx="20">
                  <c:v>633519560.5111227</c:v>
                </c:pt>
                <c:pt idx="21">
                  <c:v>-699872057.97092915</c:v>
                </c:pt>
                <c:pt idx="22">
                  <c:v>-1002026095.7456136</c:v>
                </c:pt>
                <c:pt idx="23">
                  <c:v>-583245841.89913416</c:v>
                </c:pt>
                <c:pt idx="24">
                  <c:v>-750621108.48912239</c:v>
                </c:pt>
                <c:pt idx="25">
                  <c:v>-451981841.81529236</c:v>
                </c:pt>
                <c:pt idx="26">
                  <c:v>-101234681.29498339</c:v>
                </c:pt>
                <c:pt idx="27">
                  <c:v>-222505723.41496706</c:v>
                </c:pt>
                <c:pt idx="28">
                  <c:v>-448256544.97377872</c:v>
                </c:pt>
                <c:pt idx="29">
                  <c:v>-623587812.76995301</c:v>
                </c:pt>
                <c:pt idx="30">
                  <c:v>-561141127.86348176</c:v>
                </c:pt>
                <c:pt idx="31">
                  <c:v>-555155346.0746336</c:v>
                </c:pt>
                <c:pt idx="32">
                  <c:v>-236837148.71492672</c:v>
                </c:pt>
                <c:pt idx="33">
                  <c:v>-169176971.02196813</c:v>
                </c:pt>
                <c:pt idx="34">
                  <c:v>184214998.72862196</c:v>
                </c:pt>
                <c:pt idx="35">
                  <c:v>-442109734.036376</c:v>
                </c:pt>
                <c:pt idx="36">
                  <c:v>-475192491.37459373</c:v>
                </c:pt>
                <c:pt idx="37">
                  <c:v>118877417.33749413</c:v>
                </c:pt>
                <c:pt idx="38">
                  <c:v>-318035834.19982815</c:v>
                </c:pt>
                <c:pt idx="39">
                  <c:v>-78808292.183059692</c:v>
                </c:pt>
                <c:pt idx="40">
                  <c:v>211776554.03916073</c:v>
                </c:pt>
                <c:pt idx="41">
                  <c:v>-443055872.50573254</c:v>
                </c:pt>
                <c:pt idx="42">
                  <c:v>-275953703.19160962</c:v>
                </c:pt>
                <c:pt idx="43">
                  <c:v>-545765150.27830148</c:v>
                </c:pt>
                <c:pt idx="44">
                  <c:v>-579668864.55913234</c:v>
                </c:pt>
                <c:pt idx="45">
                  <c:v>-595067957.42734599</c:v>
                </c:pt>
                <c:pt idx="46">
                  <c:v>-462277530.31704879</c:v>
                </c:pt>
                <c:pt idx="47">
                  <c:v>-917447625.63849783</c:v>
                </c:pt>
                <c:pt idx="48">
                  <c:v>-791142631.43516159</c:v>
                </c:pt>
                <c:pt idx="49">
                  <c:v>-798945119.04427838</c:v>
                </c:pt>
                <c:pt idx="50">
                  <c:v>-477256438.25307012</c:v>
                </c:pt>
                <c:pt idx="51">
                  <c:v>-600436754.96776271</c:v>
                </c:pt>
                <c:pt idx="52">
                  <c:v>-480873914.84094214</c:v>
                </c:pt>
                <c:pt idx="53">
                  <c:v>-566105983.38534617</c:v>
                </c:pt>
                <c:pt idx="54">
                  <c:v>-477842814.29702783</c:v>
                </c:pt>
                <c:pt idx="55">
                  <c:v>-253365188.43377995</c:v>
                </c:pt>
                <c:pt idx="56">
                  <c:v>396535920.42661762</c:v>
                </c:pt>
                <c:pt idx="57">
                  <c:v>-297746939.42718792</c:v>
                </c:pt>
                <c:pt idx="58">
                  <c:v>-190645371.27627254</c:v>
                </c:pt>
                <c:pt idx="59">
                  <c:v>1671872259.8052089</c:v>
                </c:pt>
                <c:pt idx="60">
                  <c:v>503417298.26788664</c:v>
                </c:pt>
                <c:pt idx="61">
                  <c:v>-339094918.1759069</c:v>
                </c:pt>
                <c:pt idx="62">
                  <c:v>-523885517.96736002</c:v>
                </c:pt>
                <c:pt idx="63">
                  <c:v>299946621.72087741</c:v>
                </c:pt>
                <c:pt idx="64">
                  <c:v>530392454.15473962</c:v>
                </c:pt>
                <c:pt idx="65">
                  <c:v>151006916.58860159</c:v>
                </c:pt>
                <c:pt idx="66">
                  <c:v>339163612.34863377</c:v>
                </c:pt>
                <c:pt idx="67">
                  <c:v>540842717.1927526</c:v>
                </c:pt>
                <c:pt idx="68">
                  <c:v>175214560.20927644</c:v>
                </c:pt>
                <c:pt idx="69">
                  <c:v>-8486825.110057354</c:v>
                </c:pt>
                <c:pt idx="70">
                  <c:v>155886244.2040658</c:v>
                </c:pt>
                <c:pt idx="71">
                  <c:v>133032269.46527815</c:v>
                </c:pt>
                <c:pt idx="72">
                  <c:v>35559864.309396982</c:v>
                </c:pt>
                <c:pt idx="73">
                  <c:v>73188036.244439363</c:v>
                </c:pt>
                <c:pt idx="74">
                  <c:v>36045637.512978315</c:v>
                </c:pt>
                <c:pt idx="75">
                  <c:v>-890323765.3143723</c:v>
                </c:pt>
                <c:pt idx="76">
                  <c:v>34075604.644764423</c:v>
                </c:pt>
                <c:pt idx="77">
                  <c:v>264984216.91094279</c:v>
                </c:pt>
                <c:pt idx="78">
                  <c:v>585790640.63271713</c:v>
                </c:pt>
                <c:pt idx="79">
                  <c:v>-298315056.91404724</c:v>
                </c:pt>
                <c:pt idx="80">
                  <c:v>351109436.68302226</c:v>
                </c:pt>
                <c:pt idx="81">
                  <c:v>1412556852.79568</c:v>
                </c:pt>
                <c:pt idx="82">
                  <c:v>-161746298.32666445</c:v>
                </c:pt>
                <c:pt idx="83">
                  <c:v>121256400.55310702</c:v>
                </c:pt>
                <c:pt idx="84">
                  <c:v>13003830.366049767</c:v>
                </c:pt>
                <c:pt idx="85">
                  <c:v>-125580702.33659577</c:v>
                </c:pt>
                <c:pt idx="86">
                  <c:v>-258060975.6004138</c:v>
                </c:pt>
                <c:pt idx="87">
                  <c:v>1599205.4810676575</c:v>
                </c:pt>
                <c:pt idx="88">
                  <c:v>163761444.77581692</c:v>
                </c:pt>
                <c:pt idx="89">
                  <c:v>13020100.998037338</c:v>
                </c:pt>
                <c:pt idx="90">
                  <c:v>272145896.36246538</c:v>
                </c:pt>
                <c:pt idx="91">
                  <c:v>-44398090.476932526</c:v>
                </c:pt>
                <c:pt idx="92">
                  <c:v>218702306.82465363</c:v>
                </c:pt>
                <c:pt idx="93">
                  <c:v>483115289.51004124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DA-C547-87AB-3C280F062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11168"/>
        <c:axId val="100628560"/>
      </c:scatterChart>
      <c:valAx>
        <c:axId val="14301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100628560"/>
        <c:crosses val="autoZero"/>
        <c:crossBetween val="midCat"/>
      </c:valAx>
      <c:valAx>
        <c:axId val="100628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0111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Сбербанк!$A$2:$A$95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Сбербанк!$B$2:$B$95</c:f>
              <c:numCache>
                <c:formatCode>#,##0.00</c:formatCode>
                <c:ptCount val="94"/>
                <c:pt idx="0">
                  <c:v>4337561310</c:v>
                </c:pt>
                <c:pt idx="1">
                  <c:v>2691982770</c:v>
                </c:pt>
                <c:pt idx="2">
                  <c:v>2785656310</c:v>
                </c:pt>
                <c:pt idx="3">
                  <c:v>2030051460</c:v>
                </c:pt>
                <c:pt idx="4">
                  <c:v>2690621070</c:v>
                </c:pt>
                <c:pt idx="5">
                  <c:v>1885405260</c:v>
                </c:pt>
                <c:pt idx="6">
                  <c:v>4013046200</c:v>
                </c:pt>
                <c:pt idx="7">
                  <c:v>3076887590</c:v>
                </c:pt>
                <c:pt idx="8">
                  <c:v>1830904250</c:v>
                </c:pt>
                <c:pt idx="9">
                  <c:v>2551370010</c:v>
                </c:pt>
                <c:pt idx="10">
                  <c:v>2488111940</c:v>
                </c:pt>
                <c:pt idx="11">
                  <c:v>2008042110</c:v>
                </c:pt>
                <c:pt idx="12">
                  <c:v>2891411920</c:v>
                </c:pt>
                <c:pt idx="13">
                  <c:v>3583789870</c:v>
                </c:pt>
                <c:pt idx="14">
                  <c:v>2905609940</c:v>
                </c:pt>
                <c:pt idx="15">
                  <c:v>3217030850</c:v>
                </c:pt>
                <c:pt idx="16">
                  <c:v>4898591710</c:v>
                </c:pt>
                <c:pt idx="17">
                  <c:v>3001439250</c:v>
                </c:pt>
                <c:pt idx="18">
                  <c:v>2008494660</c:v>
                </c:pt>
                <c:pt idx="19">
                  <c:v>1414145480</c:v>
                </c:pt>
                <c:pt idx="20">
                  <c:v>2849625200</c:v>
                </c:pt>
                <c:pt idx="21">
                  <c:v>1510458530</c:v>
                </c:pt>
                <c:pt idx="22">
                  <c:v>1191987680</c:v>
                </c:pt>
                <c:pt idx="23">
                  <c:v>1603984540</c:v>
                </c:pt>
                <c:pt idx="24">
                  <c:v>1427259190</c:v>
                </c:pt>
                <c:pt idx="25">
                  <c:v>1721040080</c:v>
                </c:pt>
                <c:pt idx="26">
                  <c:v>2060145470</c:v>
                </c:pt>
                <c:pt idx="27">
                  <c:v>1926407650</c:v>
                </c:pt>
                <c:pt idx="28">
                  <c:v>1691490080</c:v>
                </c:pt>
                <c:pt idx="29">
                  <c:v>1514417130</c:v>
                </c:pt>
                <c:pt idx="30">
                  <c:v>1576313810</c:v>
                </c:pt>
                <c:pt idx="31">
                  <c:v>1563416090</c:v>
                </c:pt>
                <c:pt idx="32">
                  <c:v>1880909280</c:v>
                </c:pt>
                <c:pt idx="33">
                  <c:v>1935002670</c:v>
                </c:pt>
                <c:pt idx="34">
                  <c:v>2286927960</c:v>
                </c:pt>
                <c:pt idx="35">
                  <c:v>1659044880</c:v>
                </c:pt>
                <c:pt idx="36">
                  <c:v>1612212000</c:v>
                </c:pt>
                <c:pt idx="37">
                  <c:v>2184006710</c:v>
                </c:pt>
                <c:pt idx="38">
                  <c:v>1723351580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1249106940</c:v>
                </c:pt>
                <c:pt idx="47">
                  <c:v>777345030</c:v>
                </c:pt>
                <c:pt idx="48">
                  <c:v>825457660</c:v>
                </c:pt>
                <c:pt idx="49">
                  <c:v>817013500</c:v>
                </c:pt>
                <c:pt idx="50">
                  <c:v>1113951960</c:v>
                </c:pt>
                <c:pt idx="51">
                  <c:v>980688220</c:v>
                </c:pt>
                <c:pt idx="52">
                  <c:v>1056892340</c:v>
                </c:pt>
                <c:pt idx="53">
                  <c:v>965518550</c:v>
                </c:pt>
                <c:pt idx="54">
                  <c:v>989614480</c:v>
                </c:pt>
                <c:pt idx="55">
                  <c:v>1204467020</c:v>
                </c:pt>
                <c:pt idx="56">
                  <c:v>1774159080</c:v>
                </c:pt>
                <c:pt idx="57">
                  <c:v>1066034430</c:v>
                </c:pt>
                <c:pt idx="58">
                  <c:v>1147560770</c:v>
                </c:pt>
                <c:pt idx="59">
                  <c:v>3001736660</c:v>
                </c:pt>
                <c:pt idx="60">
                  <c:v>1809539820</c:v>
                </c:pt>
                <c:pt idx="61">
                  <c:v>943835730</c:v>
                </c:pt>
                <c:pt idx="62">
                  <c:v>745570010</c:v>
                </c:pt>
                <c:pt idx="63">
                  <c:v>1567568800</c:v>
                </c:pt>
                <c:pt idx="64">
                  <c:v>1768222700</c:v>
                </c:pt>
                <c:pt idx="65">
                  <c:v>1359045230</c:v>
                </c:pt>
                <c:pt idx="66">
                  <c:v>1522268370</c:v>
                </c:pt>
                <c:pt idx="67">
                  <c:v>1723030800</c:v>
                </c:pt>
                <c:pt idx="68">
                  <c:v>1316335610</c:v>
                </c:pt>
                <c:pt idx="69">
                  <c:v>1071950350</c:v>
                </c:pt>
                <c:pt idx="70">
                  <c:v>1232290050</c:v>
                </c:pt>
                <c:pt idx="71">
                  <c:v>1181569160</c:v>
                </c:pt>
                <c:pt idx="72">
                  <c:v>1083180080</c:v>
                </c:pt>
                <c:pt idx="73">
                  <c:v>1088082960</c:v>
                </c:pt>
                <c:pt idx="74">
                  <c:v>1043698830</c:v>
                </c:pt>
                <c:pt idx="75">
                  <c:v>115404410</c:v>
                </c:pt>
                <c:pt idx="76">
                  <c:v>1024861980</c:v>
                </c:pt>
                <c:pt idx="77">
                  <c:v>1254395580</c:v>
                </c:pt>
                <c:pt idx="78">
                  <c:v>1567685270</c:v>
                </c:pt>
                <c:pt idx="79">
                  <c:v>683304570</c:v>
                </c:pt>
                <c:pt idx="80">
                  <c:v>1324478990</c:v>
                </c:pt>
                <c:pt idx="81">
                  <c:v>2377768000</c:v>
                </c:pt>
                <c:pt idx="82">
                  <c:v>796864790</c:v>
                </c:pt>
                <c:pt idx="83">
                  <c:v>1029175370</c:v>
                </c:pt>
                <c:pt idx="84">
                  <c:v>919822790</c:v>
                </c:pt>
                <c:pt idx="85">
                  <c:v>780046580</c:v>
                </c:pt>
                <c:pt idx="86">
                  <c:v>643074600</c:v>
                </c:pt>
                <c:pt idx="87">
                  <c:v>894393040</c:v>
                </c:pt>
                <c:pt idx="88">
                  <c:v>1023004980</c:v>
                </c:pt>
                <c:pt idx="89">
                  <c:v>747137520</c:v>
                </c:pt>
                <c:pt idx="90">
                  <c:v>993704870</c:v>
                </c:pt>
                <c:pt idx="91">
                  <c:v>666344120</c:v>
                </c:pt>
                <c:pt idx="92">
                  <c:v>840068720</c:v>
                </c:pt>
                <c:pt idx="93">
                  <c:v>1032064390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84-D047-A2BD-FB4BDDE120D4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Сбербанк!$A$2:$A$95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Сбербанк!$J$71:$J$164</c:f>
              <c:numCache>
                <c:formatCode>General</c:formatCode>
                <c:ptCount val="94"/>
                <c:pt idx="0">
                  <c:v>2542716886.4484172</c:v>
                </c:pt>
                <c:pt idx="1">
                  <c:v>2482216346.7365742</c:v>
                </c:pt>
                <c:pt idx="2">
                  <c:v>2469566233.8877344</c:v>
                </c:pt>
                <c:pt idx="3">
                  <c:v>2383673800.9937997</c:v>
                </c:pt>
                <c:pt idx="4">
                  <c:v>2383215463.5717406</c:v>
                </c:pt>
                <c:pt idx="5">
                  <c:v>2382757126.1496811</c:v>
                </c:pt>
                <c:pt idx="6">
                  <c:v>2381382113.883503</c:v>
                </c:pt>
                <c:pt idx="7">
                  <c:v>2374873722.4902592</c:v>
                </c:pt>
                <c:pt idx="8">
                  <c:v>2372215365.4423146</c:v>
                </c:pt>
                <c:pt idx="9">
                  <c:v>2371298690.5981956</c:v>
                </c:pt>
                <c:pt idx="10">
                  <c:v>2363048617.0011263</c:v>
                </c:pt>
                <c:pt idx="11">
                  <c:v>2355715218.2481756</c:v>
                </c:pt>
                <c:pt idx="12">
                  <c:v>2353698533.591114</c:v>
                </c:pt>
                <c:pt idx="13">
                  <c:v>2350123501.6990509</c:v>
                </c:pt>
                <c:pt idx="14">
                  <c:v>2347190142.1978703</c:v>
                </c:pt>
                <c:pt idx="15">
                  <c:v>2341048420.7422743</c:v>
                </c:pt>
                <c:pt idx="16">
                  <c:v>2277797856.498075</c:v>
                </c:pt>
                <c:pt idx="17">
                  <c:v>2271381132.5892429</c:v>
                </c:pt>
                <c:pt idx="18">
                  <c:v>2271381132.5892429</c:v>
                </c:pt>
                <c:pt idx="19">
                  <c:v>2237189160.9036107</c:v>
                </c:pt>
                <c:pt idx="20">
                  <c:v>2216105639.4888773</c:v>
                </c:pt>
                <c:pt idx="21">
                  <c:v>2210330587.9709291</c:v>
                </c:pt>
                <c:pt idx="22">
                  <c:v>2194013775.7456136</c:v>
                </c:pt>
                <c:pt idx="23">
                  <c:v>2187230381.8991342</c:v>
                </c:pt>
                <c:pt idx="24">
                  <c:v>2177880298.4891224</c:v>
                </c:pt>
                <c:pt idx="25">
                  <c:v>2173021921.8152924</c:v>
                </c:pt>
                <c:pt idx="26">
                  <c:v>2161380151.2949834</c:v>
                </c:pt>
                <c:pt idx="27">
                  <c:v>2148913373.4149671</c:v>
                </c:pt>
                <c:pt idx="28">
                  <c:v>2139746624.9737787</c:v>
                </c:pt>
                <c:pt idx="29">
                  <c:v>2138004942.769953</c:v>
                </c:pt>
                <c:pt idx="30">
                  <c:v>2137454937.8634818</c:v>
                </c:pt>
                <c:pt idx="31">
                  <c:v>2118571436.0746336</c:v>
                </c:pt>
                <c:pt idx="32">
                  <c:v>2117746428.7149267</c:v>
                </c:pt>
                <c:pt idx="33">
                  <c:v>2104179641.0219681</c:v>
                </c:pt>
                <c:pt idx="34">
                  <c:v>2102712961.271378</c:v>
                </c:pt>
                <c:pt idx="35">
                  <c:v>2101154614.036376</c:v>
                </c:pt>
                <c:pt idx="36">
                  <c:v>2087404491.3745937</c:v>
                </c:pt>
                <c:pt idx="37">
                  <c:v>2065129292.6625059</c:v>
                </c:pt>
                <c:pt idx="38">
                  <c:v>2041387414.1998281</c:v>
                </c:pt>
                <c:pt idx="39">
                  <c:v>2038545722.1830597</c:v>
                </c:pt>
                <c:pt idx="40">
                  <c:v>1913419605.9608393</c:v>
                </c:pt>
                <c:pt idx="41">
                  <c:v>1830827202.5057325</c:v>
                </c:pt>
                <c:pt idx="42">
                  <c:v>1826793833.1916096</c:v>
                </c:pt>
                <c:pt idx="43">
                  <c:v>1770418330.2783015</c:v>
                </c:pt>
                <c:pt idx="44">
                  <c:v>1730542974.5591323</c:v>
                </c:pt>
                <c:pt idx="45">
                  <c:v>1713676157.427346</c:v>
                </c:pt>
                <c:pt idx="46">
                  <c:v>1711384470.3170488</c:v>
                </c:pt>
                <c:pt idx="47">
                  <c:v>1694792655.6384978</c:v>
                </c:pt>
                <c:pt idx="48">
                  <c:v>1616600291.4351616</c:v>
                </c:pt>
                <c:pt idx="49">
                  <c:v>1615958619.0442784</c:v>
                </c:pt>
                <c:pt idx="50">
                  <c:v>1591208398.2530701</c:v>
                </c:pt>
                <c:pt idx="51">
                  <c:v>1581124974.9677627</c:v>
                </c:pt>
                <c:pt idx="52">
                  <c:v>1537766254.8409421</c:v>
                </c:pt>
                <c:pt idx="53">
                  <c:v>1531624533.3853462</c:v>
                </c:pt>
                <c:pt idx="54">
                  <c:v>1467457294.2970278</c:v>
                </c:pt>
                <c:pt idx="55">
                  <c:v>1457832208.43378</c:v>
                </c:pt>
                <c:pt idx="56">
                  <c:v>1377623159.5733824</c:v>
                </c:pt>
                <c:pt idx="57">
                  <c:v>1363781369.4271879</c:v>
                </c:pt>
                <c:pt idx="58">
                  <c:v>1338206141.2762725</c:v>
                </c:pt>
                <c:pt idx="59">
                  <c:v>1329864400.1947911</c:v>
                </c:pt>
                <c:pt idx="60">
                  <c:v>1306122521.7321134</c:v>
                </c:pt>
                <c:pt idx="61">
                  <c:v>1282930648.1759069</c:v>
                </c:pt>
                <c:pt idx="62">
                  <c:v>1269455527.96736</c:v>
                </c:pt>
                <c:pt idx="63">
                  <c:v>1267622178.2791226</c:v>
                </c:pt>
                <c:pt idx="64">
                  <c:v>1237830245.8452604</c:v>
                </c:pt>
                <c:pt idx="65">
                  <c:v>1208038313.4113984</c:v>
                </c:pt>
                <c:pt idx="66">
                  <c:v>1183104757.6513662</c:v>
                </c:pt>
                <c:pt idx="67">
                  <c:v>1182188082.8072474</c:v>
                </c:pt>
                <c:pt idx="68">
                  <c:v>1141121049.7907236</c:v>
                </c:pt>
                <c:pt idx="69">
                  <c:v>1080437175.1100574</c:v>
                </c:pt>
                <c:pt idx="70">
                  <c:v>1076403805.7959342</c:v>
                </c:pt>
                <c:pt idx="71">
                  <c:v>1048536890.5347219</c:v>
                </c:pt>
                <c:pt idx="72">
                  <c:v>1047620215.690603</c:v>
                </c:pt>
                <c:pt idx="73">
                  <c:v>1014894923.7555606</c:v>
                </c:pt>
                <c:pt idx="74">
                  <c:v>1007653192.4870217</c:v>
                </c:pt>
                <c:pt idx="75">
                  <c:v>1005728175.3143723</c:v>
                </c:pt>
                <c:pt idx="76">
                  <c:v>990786375.35523558</c:v>
                </c:pt>
                <c:pt idx="77">
                  <c:v>989411363.08905721</c:v>
                </c:pt>
                <c:pt idx="78">
                  <c:v>981894629.36728287</c:v>
                </c:pt>
                <c:pt idx="79">
                  <c:v>981619626.91404724</c:v>
                </c:pt>
                <c:pt idx="80">
                  <c:v>973369553.31697774</c:v>
                </c:pt>
                <c:pt idx="81">
                  <c:v>965211147.20431995</c:v>
                </c:pt>
                <c:pt idx="82">
                  <c:v>958611088.32666445</c:v>
                </c:pt>
                <c:pt idx="83">
                  <c:v>907918969.44689298</c:v>
                </c:pt>
                <c:pt idx="84">
                  <c:v>906818959.63395023</c:v>
                </c:pt>
                <c:pt idx="85">
                  <c:v>905627282.33659577</c:v>
                </c:pt>
                <c:pt idx="86">
                  <c:v>901135575.6004138</c:v>
                </c:pt>
                <c:pt idx="87">
                  <c:v>892793834.51893234</c:v>
                </c:pt>
                <c:pt idx="88">
                  <c:v>859243535.22418308</c:v>
                </c:pt>
                <c:pt idx="89">
                  <c:v>734117419.00196266</c:v>
                </c:pt>
                <c:pt idx="90">
                  <c:v>721558973.63753462</c:v>
                </c:pt>
                <c:pt idx="91">
                  <c:v>710742210.47693253</c:v>
                </c:pt>
                <c:pt idx="92">
                  <c:v>621366413.17534637</c:v>
                </c:pt>
                <c:pt idx="93">
                  <c:v>548949100.48995876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84-D047-A2BD-FB4BDDE12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62032"/>
        <c:axId val="148819472"/>
      </c:scatterChart>
      <c:valAx>
        <c:axId val="14436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148819472"/>
        <c:crosses val="autoZero"/>
        <c:crossBetween val="midCat"/>
      </c:valAx>
      <c:valAx>
        <c:axId val="148819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1443620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Сбербанк!$N$71:$N$164</c:f>
              <c:numCache>
                <c:formatCode>General</c:formatCode>
                <c:ptCount val="94"/>
                <c:pt idx="0">
                  <c:v>0.53191489361702127</c:v>
                </c:pt>
                <c:pt idx="1">
                  <c:v>1.5957446808510638</c:v>
                </c:pt>
                <c:pt idx="2">
                  <c:v>2.6595744680851063</c:v>
                </c:pt>
                <c:pt idx="3">
                  <c:v>3.7234042553191489</c:v>
                </c:pt>
                <c:pt idx="4">
                  <c:v>4.787234042553191</c:v>
                </c:pt>
                <c:pt idx="5">
                  <c:v>5.8510638297872344</c:v>
                </c:pt>
                <c:pt idx="6">
                  <c:v>6.914893617021276</c:v>
                </c:pt>
                <c:pt idx="7">
                  <c:v>7.9787234042553195</c:v>
                </c:pt>
                <c:pt idx="8">
                  <c:v>9.0425531914893611</c:v>
                </c:pt>
                <c:pt idx="9">
                  <c:v>10.106382978723403</c:v>
                </c:pt>
                <c:pt idx="10">
                  <c:v>11.170212765957446</c:v>
                </c:pt>
                <c:pt idx="11">
                  <c:v>12.23404255319149</c:v>
                </c:pt>
                <c:pt idx="12">
                  <c:v>13.297872340425531</c:v>
                </c:pt>
                <c:pt idx="13">
                  <c:v>14.361702127659573</c:v>
                </c:pt>
                <c:pt idx="14">
                  <c:v>15.425531914893616</c:v>
                </c:pt>
                <c:pt idx="15">
                  <c:v>16.48936170212766</c:v>
                </c:pt>
                <c:pt idx="16">
                  <c:v>17.553191489361701</c:v>
                </c:pt>
                <c:pt idx="17">
                  <c:v>18.617021276595743</c:v>
                </c:pt>
                <c:pt idx="18">
                  <c:v>19.680851063829785</c:v>
                </c:pt>
                <c:pt idx="19">
                  <c:v>20.74468085106383</c:v>
                </c:pt>
                <c:pt idx="20">
                  <c:v>21.808510638297872</c:v>
                </c:pt>
                <c:pt idx="21">
                  <c:v>22.872340425531913</c:v>
                </c:pt>
                <c:pt idx="22">
                  <c:v>23.936170212765958</c:v>
                </c:pt>
                <c:pt idx="23">
                  <c:v>25</c:v>
                </c:pt>
                <c:pt idx="24">
                  <c:v>26.063829787234042</c:v>
                </c:pt>
                <c:pt idx="25">
                  <c:v>27.127659574468083</c:v>
                </c:pt>
                <c:pt idx="26">
                  <c:v>28.191489361702125</c:v>
                </c:pt>
                <c:pt idx="27">
                  <c:v>29.25531914893617</c:v>
                </c:pt>
                <c:pt idx="28">
                  <c:v>30.319148936170212</c:v>
                </c:pt>
                <c:pt idx="29">
                  <c:v>31.382978723404253</c:v>
                </c:pt>
                <c:pt idx="30">
                  <c:v>32.446808510638299</c:v>
                </c:pt>
                <c:pt idx="31">
                  <c:v>33.51063829787234</c:v>
                </c:pt>
                <c:pt idx="32">
                  <c:v>34.574468085106382</c:v>
                </c:pt>
                <c:pt idx="33">
                  <c:v>35.638297872340424</c:v>
                </c:pt>
                <c:pt idx="34">
                  <c:v>36.702127659574465</c:v>
                </c:pt>
                <c:pt idx="35">
                  <c:v>37.765957446808507</c:v>
                </c:pt>
                <c:pt idx="36">
                  <c:v>38.829787234042549</c:v>
                </c:pt>
                <c:pt idx="37">
                  <c:v>39.893617021276597</c:v>
                </c:pt>
                <c:pt idx="38">
                  <c:v>40.957446808510639</c:v>
                </c:pt>
                <c:pt idx="39">
                  <c:v>42.021276595744681</c:v>
                </c:pt>
                <c:pt idx="40">
                  <c:v>43.085106382978722</c:v>
                </c:pt>
                <c:pt idx="41">
                  <c:v>44.148936170212764</c:v>
                </c:pt>
                <c:pt idx="42">
                  <c:v>45.212765957446805</c:v>
                </c:pt>
                <c:pt idx="43">
                  <c:v>46.276595744680847</c:v>
                </c:pt>
                <c:pt idx="44">
                  <c:v>47.340425531914896</c:v>
                </c:pt>
                <c:pt idx="45">
                  <c:v>48.404255319148938</c:v>
                </c:pt>
                <c:pt idx="46">
                  <c:v>49.468085106382979</c:v>
                </c:pt>
                <c:pt idx="47">
                  <c:v>50.531914893617021</c:v>
                </c:pt>
                <c:pt idx="48">
                  <c:v>51.595744680851062</c:v>
                </c:pt>
                <c:pt idx="49">
                  <c:v>52.659574468085104</c:v>
                </c:pt>
                <c:pt idx="50">
                  <c:v>53.723404255319146</c:v>
                </c:pt>
                <c:pt idx="51">
                  <c:v>54.787234042553187</c:v>
                </c:pt>
                <c:pt idx="52">
                  <c:v>55.851063829787229</c:v>
                </c:pt>
                <c:pt idx="53">
                  <c:v>56.914893617021278</c:v>
                </c:pt>
                <c:pt idx="54">
                  <c:v>57.978723404255319</c:v>
                </c:pt>
                <c:pt idx="55">
                  <c:v>59.042553191489361</c:v>
                </c:pt>
                <c:pt idx="56">
                  <c:v>60.106382978723403</c:v>
                </c:pt>
                <c:pt idx="57">
                  <c:v>61.170212765957444</c:v>
                </c:pt>
                <c:pt idx="58">
                  <c:v>62.234042553191486</c:v>
                </c:pt>
                <c:pt idx="59">
                  <c:v>63.297872340425528</c:v>
                </c:pt>
                <c:pt idx="60">
                  <c:v>64.361702127659584</c:v>
                </c:pt>
                <c:pt idx="61">
                  <c:v>65.425531914893625</c:v>
                </c:pt>
                <c:pt idx="62">
                  <c:v>66.489361702127667</c:v>
                </c:pt>
                <c:pt idx="63">
                  <c:v>67.553191489361708</c:v>
                </c:pt>
                <c:pt idx="64">
                  <c:v>68.61702127659575</c:v>
                </c:pt>
                <c:pt idx="65">
                  <c:v>69.680851063829792</c:v>
                </c:pt>
                <c:pt idx="66">
                  <c:v>70.744680851063833</c:v>
                </c:pt>
                <c:pt idx="67">
                  <c:v>71.808510638297875</c:v>
                </c:pt>
                <c:pt idx="68">
                  <c:v>72.872340425531917</c:v>
                </c:pt>
                <c:pt idx="69">
                  <c:v>73.936170212765958</c:v>
                </c:pt>
                <c:pt idx="70">
                  <c:v>75</c:v>
                </c:pt>
                <c:pt idx="71">
                  <c:v>76.063829787234042</c:v>
                </c:pt>
                <c:pt idx="72">
                  <c:v>77.127659574468083</c:v>
                </c:pt>
                <c:pt idx="73">
                  <c:v>78.191489361702139</c:v>
                </c:pt>
                <c:pt idx="74">
                  <c:v>79.255319148936181</c:v>
                </c:pt>
                <c:pt idx="75">
                  <c:v>80.319148936170222</c:v>
                </c:pt>
                <c:pt idx="76">
                  <c:v>81.382978723404264</c:v>
                </c:pt>
                <c:pt idx="77">
                  <c:v>82.446808510638306</c:v>
                </c:pt>
                <c:pt idx="78">
                  <c:v>83.510638297872347</c:v>
                </c:pt>
                <c:pt idx="79">
                  <c:v>84.574468085106389</c:v>
                </c:pt>
                <c:pt idx="80">
                  <c:v>85.638297872340431</c:v>
                </c:pt>
                <c:pt idx="81">
                  <c:v>86.702127659574472</c:v>
                </c:pt>
                <c:pt idx="82">
                  <c:v>87.765957446808514</c:v>
                </c:pt>
                <c:pt idx="83">
                  <c:v>88.829787234042556</c:v>
                </c:pt>
                <c:pt idx="84">
                  <c:v>89.893617021276597</c:v>
                </c:pt>
                <c:pt idx="85">
                  <c:v>90.957446808510639</c:v>
                </c:pt>
                <c:pt idx="86">
                  <c:v>92.021276595744681</c:v>
                </c:pt>
                <c:pt idx="87">
                  <c:v>93.085106382978722</c:v>
                </c:pt>
                <c:pt idx="88">
                  <c:v>94.148936170212778</c:v>
                </c:pt>
                <c:pt idx="89">
                  <c:v>95.21276595744682</c:v>
                </c:pt>
                <c:pt idx="90">
                  <c:v>96.276595744680861</c:v>
                </c:pt>
                <c:pt idx="91">
                  <c:v>97.340425531914903</c:v>
                </c:pt>
                <c:pt idx="92">
                  <c:v>98.404255319148945</c:v>
                </c:pt>
                <c:pt idx="93">
                  <c:v>99.468085106382986</c:v>
                </c:pt>
              </c:numCache>
            </c:numRef>
          </c:xVal>
          <c:yVal>
            <c:numRef>
              <c:f>Сбербанк!$O$71:$O$164</c:f>
              <c:numCache>
                <c:formatCode>General</c:formatCode>
                <c:ptCount val="94"/>
                <c:pt idx="0">
                  <c:v>115404410</c:v>
                </c:pt>
                <c:pt idx="1">
                  <c:v>643074600</c:v>
                </c:pt>
                <c:pt idx="2">
                  <c:v>666344120</c:v>
                </c:pt>
                <c:pt idx="3">
                  <c:v>683304570</c:v>
                </c:pt>
                <c:pt idx="4">
                  <c:v>745570010</c:v>
                </c:pt>
                <c:pt idx="5">
                  <c:v>747137520</c:v>
                </c:pt>
                <c:pt idx="6">
                  <c:v>777345030</c:v>
                </c:pt>
                <c:pt idx="7">
                  <c:v>780046580</c:v>
                </c:pt>
                <c:pt idx="8">
                  <c:v>796864790</c:v>
                </c:pt>
                <c:pt idx="9">
                  <c:v>817013500</c:v>
                </c:pt>
                <c:pt idx="10">
                  <c:v>825457660</c:v>
                </c:pt>
                <c:pt idx="11">
                  <c:v>840068720</c:v>
                </c:pt>
                <c:pt idx="12">
                  <c:v>894393040</c:v>
                </c:pt>
                <c:pt idx="13">
                  <c:v>919822790</c:v>
                </c:pt>
                <c:pt idx="14">
                  <c:v>943835730</c:v>
                </c:pt>
                <c:pt idx="15">
                  <c:v>965518550</c:v>
                </c:pt>
                <c:pt idx="16">
                  <c:v>980688220</c:v>
                </c:pt>
                <c:pt idx="17">
                  <c:v>989614480</c:v>
                </c:pt>
                <c:pt idx="18">
                  <c:v>993704870</c:v>
                </c:pt>
                <c:pt idx="19">
                  <c:v>1023004980</c:v>
                </c:pt>
                <c:pt idx="20">
                  <c:v>1024861980</c:v>
                </c:pt>
                <c:pt idx="21">
                  <c:v>1029175370</c:v>
                </c:pt>
                <c:pt idx="22">
                  <c:v>1032064390</c:v>
                </c:pt>
                <c:pt idx="23">
                  <c:v>1043698830</c:v>
                </c:pt>
                <c:pt idx="24">
                  <c:v>1056892340</c:v>
                </c:pt>
                <c:pt idx="25">
                  <c:v>1066034430</c:v>
                </c:pt>
                <c:pt idx="26">
                  <c:v>1071950350</c:v>
                </c:pt>
                <c:pt idx="27">
                  <c:v>1083180080</c:v>
                </c:pt>
                <c:pt idx="28">
                  <c:v>1088082960</c:v>
                </c:pt>
                <c:pt idx="29">
                  <c:v>1113951960</c:v>
                </c:pt>
                <c:pt idx="30">
                  <c:v>1118608200</c:v>
                </c:pt>
                <c:pt idx="31">
                  <c:v>1147560770</c:v>
                </c:pt>
                <c:pt idx="32">
                  <c:v>1150874110</c:v>
                </c:pt>
                <c:pt idx="33">
                  <c:v>1181569160</c:v>
                </c:pt>
                <c:pt idx="34">
                  <c:v>1191987680</c:v>
                </c:pt>
                <c:pt idx="35">
                  <c:v>1204467020</c:v>
                </c:pt>
                <c:pt idx="36">
                  <c:v>1224653180</c:v>
                </c:pt>
                <c:pt idx="37">
                  <c:v>1232290050</c:v>
                </c:pt>
                <c:pt idx="38">
                  <c:v>1249106940</c:v>
                </c:pt>
                <c:pt idx="39">
                  <c:v>1254395580</c:v>
                </c:pt>
                <c:pt idx="40">
                  <c:v>1316335610</c:v>
                </c:pt>
                <c:pt idx="41">
                  <c:v>1324478990</c:v>
                </c:pt>
                <c:pt idx="42">
                  <c:v>1359045230</c:v>
                </c:pt>
                <c:pt idx="43">
                  <c:v>1387771330</c:v>
                </c:pt>
                <c:pt idx="44">
                  <c:v>1414145480</c:v>
                </c:pt>
                <c:pt idx="45">
                  <c:v>1427259190</c:v>
                </c:pt>
                <c:pt idx="46">
                  <c:v>1510458530</c:v>
                </c:pt>
                <c:pt idx="47">
                  <c:v>1514417130</c:v>
                </c:pt>
                <c:pt idx="48">
                  <c:v>1522268370</c:v>
                </c:pt>
                <c:pt idx="49">
                  <c:v>1550840130</c:v>
                </c:pt>
                <c:pt idx="50">
                  <c:v>1563416090</c:v>
                </c:pt>
                <c:pt idx="51">
                  <c:v>1567568800</c:v>
                </c:pt>
                <c:pt idx="52">
                  <c:v>1567685270</c:v>
                </c:pt>
                <c:pt idx="53">
                  <c:v>1576313810</c:v>
                </c:pt>
                <c:pt idx="54">
                  <c:v>1603984540</c:v>
                </c:pt>
                <c:pt idx="55">
                  <c:v>1612212000</c:v>
                </c:pt>
                <c:pt idx="56">
                  <c:v>1659044880</c:v>
                </c:pt>
                <c:pt idx="57">
                  <c:v>1691490080</c:v>
                </c:pt>
                <c:pt idx="58">
                  <c:v>1721040080</c:v>
                </c:pt>
                <c:pt idx="59">
                  <c:v>1723030800</c:v>
                </c:pt>
                <c:pt idx="60">
                  <c:v>1723351580</c:v>
                </c:pt>
                <c:pt idx="61">
                  <c:v>1768222700</c:v>
                </c:pt>
                <c:pt idx="62">
                  <c:v>1774159080</c:v>
                </c:pt>
                <c:pt idx="63">
                  <c:v>1809539820</c:v>
                </c:pt>
                <c:pt idx="64">
                  <c:v>1830904250</c:v>
                </c:pt>
                <c:pt idx="65">
                  <c:v>1880909280</c:v>
                </c:pt>
                <c:pt idx="66">
                  <c:v>1885405260</c:v>
                </c:pt>
                <c:pt idx="67">
                  <c:v>1926407650</c:v>
                </c:pt>
                <c:pt idx="68">
                  <c:v>1935002670</c:v>
                </c:pt>
                <c:pt idx="69">
                  <c:v>1959737430</c:v>
                </c:pt>
                <c:pt idx="70">
                  <c:v>2008042110</c:v>
                </c:pt>
                <c:pt idx="71">
                  <c:v>2008494660</c:v>
                </c:pt>
                <c:pt idx="72">
                  <c:v>2030051460</c:v>
                </c:pt>
                <c:pt idx="73">
                  <c:v>2060145470</c:v>
                </c:pt>
                <c:pt idx="74">
                  <c:v>2125196160</c:v>
                </c:pt>
                <c:pt idx="75">
                  <c:v>2184006710</c:v>
                </c:pt>
                <c:pt idx="76">
                  <c:v>2286927960</c:v>
                </c:pt>
                <c:pt idx="77">
                  <c:v>2377768000</c:v>
                </c:pt>
                <c:pt idx="78">
                  <c:v>2488111940</c:v>
                </c:pt>
                <c:pt idx="79">
                  <c:v>2551370010</c:v>
                </c:pt>
                <c:pt idx="80">
                  <c:v>2690621070</c:v>
                </c:pt>
                <c:pt idx="81">
                  <c:v>2691982770</c:v>
                </c:pt>
                <c:pt idx="82">
                  <c:v>2785656310</c:v>
                </c:pt>
                <c:pt idx="83">
                  <c:v>2849625200</c:v>
                </c:pt>
                <c:pt idx="84">
                  <c:v>2891411920</c:v>
                </c:pt>
                <c:pt idx="85">
                  <c:v>2905609940</c:v>
                </c:pt>
                <c:pt idx="86">
                  <c:v>3001439250</c:v>
                </c:pt>
                <c:pt idx="87">
                  <c:v>3001736660</c:v>
                </c:pt>
                <c:pt idx="88">
                  <c:v>3076887590</c:v>
                </c:pt>
                <c:pt idx="89">
                  <c:v>3217030850</c:v>
                </c:pt>
                <c:pt idx="90">
                  <c:v>3583789870</c:v>
                </c:pt>
                <c:pt idx="91">
                  <c:v>4013046200</c:v>
                </c:pt>
                <c:pt idx="92">
                  <c:v>4337561310</c:v>
                </c:pt>
                <c:pt idx="93">
                  <c:v>4898591710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F1-D543-97E2-67448FEEF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08256"/>
        <c:axId val="149309904"/>
      </c:scatterChart>
      <c:valAx>
        <c:axId val="14930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309904"/>
        <c:crosses val="autoZero"/>
        <c:crossBetween val="midCat"/>
      </c:valAx>
      <c:valAx>
        <c:axId val="149309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3082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Газпром!$A$2:$A$96</c:f>
              <c:numCache>
                <c:formatCode>General</c:formatCode>
                <c:ptCount val="94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181.01</c:v>
                </c:pt>
                <c:pt idx="93">
                  <c:v>181.95</c:v>
                </c:pt>
              </c:numCache>
            </c:numRef>
          </c:xVal>
          <c:yVal>
            <c:numRef>
              <c:f>Газпром!$K$71:$K$164</c:f>
              <c:numCache>
                <c:formatCode>General</c:formatCode>
                <c:ptCount val="94"/>
                <c:pt idx="0">
                  <c:v>-103292717.94125772</c:v>
                </c:pt>
                <c:pt idx="1">
                  <c:v>-243174710.53839493</c:v>
                </c:pt>
                <c:pt idx="2">
                  <c:v>6390840.5916839838</c:v>
                </c:pt>
                <c:pt idx="3">
                  <c:v>234435093.31063104</c:v>
                </c:pt>
                <c:pt idx="4">
                  <c:v>290239229.09350586</c:v>
                </c:pt>
                <c:pt idx="5">
                  <c:v>119464028.44266558</c:v>
                </c:pt>
                <c:pt idx="6">
                  <c:v>108760150.03331113</c:v>
                </c:pt>
                <c:pt idx="7">
                  <c:v>172845386.163836</c:v>
                </c:pt>
                <c:pt idx="8">
                  <c:v>-78894134.181144714</c:v>
                </c:pt>
                <c:pt idx="9">
                  <c:v>291990416.44924641</c:v>
                </c:pt>
                <c:pt idx="10">
                  <c:v>362291961.87291527</c:v>
                </c:pt>
                <c:pt idx="11">
                  <c:v>295125349.53807008</c:v>
                </c:pt>
                <c:pt idx="12">
                  <c:v>320219173.76319647</c:v>
                </c:pt>
                <c:pt idx="13">
                  <c:v>310800876.5257113</c:v>
                </c:pt>
                <c:pt idx="14">
                  <c:v>378555108.15370059</c:v>
                </c:pt>
                <c:pt idx="15">
                  <c:v>1315422310.9428887</c:v>
                </c:pt>
                <c:pt idx="16">
                  <c:v>670703063.50268197</c:v>
                </c:pt>
                <c:pt idx="17">
                  <c:v>430733390.32316828</c:v>
                </c:pt>
                <c:pt idx="18">
                  <c:v>131227755.82330203</c:v>
                </c:pt>
                <c:pt idx="19">
                  <c:v>290335127.90563405</c:v>
                </c:pt>
                <c:pt idx="20">
                  <c:v>136788051.86224473</c:v>
                </c:pt>
                <c:pt idx="21">
                  <c:v>69335731.025577545</c:v>
                </c:pt>
                <c:pt idx="22">
                  <c:v>120869196.14961076</c:v>
                </c:pt>
                <c:pt idx="23">
                  <c:v>-48287771.47019887</c:v>
                </c:pt>
                <c:pt idx="24">
                  <c:v>273223571.63907397</c:v>
                </c:pt>
                <c:pt idx="25">
                  <c:v>-90441797.437123299</c:v>
                </c:pt>
                <c:pt idx="26">
                  <c:v>155409940.08577228</c:v>
                </c:pt>
                <c:pt idx="27">
                  <c:v>-12853908.106635571</c:v>
                </c:pt>
                <c:pt idx="28">
                  <c:v>56113906.563055158</c:v>
                </c:pt>
                <c:pt idx="29">
                  <c:v>-259067926.01985669</c:v>
                </c:pt>
                <c:pt idx="30">
                  <c:v>-214287698.07551563</c:v>
                </c:pt>
                <c:pt idx="31">
                  <c:v>-195557762.98260212</c:v>
                </c:pt>
                <c:pt idx="32">
                  <c:v>-98635003.244894028</c:v>
                </c:pt>
                <c:pt idx="33">
                  <c:v>-74390253.881509066</c:v>
                </c:pt>
                <c:pt idx="34">
                  <c:v>3905501.1598353386</c:v>
                </c:pt>
                <c:pt idx="35">
                  <c:v>56376523.112356186</c:v>
                </c:pt>
                <c:pt idx="36">
                  <c:v>-91627375.745116949</c:v>
                </c:pt>
                <c:pt idx="37">
                  <c:v>-111010016.10254562</c:v>
                </c:pt>
                <c:pt idx="38">
                  <c:v>-94215275.937167883</c:v>
                </c:pt>
                <c:pt idx="39">
                  <c:v>-20206818.426720262</c:v>
                </c:pt>
                <c:pt idx="40">
                  <c:v>140836661.9538269</c:v>
                </c:pt>
                <c:pt idx="41">
                  <c:v>-83835870.379241109</c:v>
                </c:pt>
                <c:pt idx="42">
                  <c:v>-193814766.37728536</c:v>
                </c:pt>
                <c:pt idx="43">
                  <c:v>-221611941.49509478</c:v>
                </c:pt>
                <c:pt idx="44">
                  <c:v>-248732635.53439426</c:v>
                </c:pt>
                <c:pt idx="45">
                  <c:v>-153938441.57778358</c:v>
                </c:pt>
                <c:pt idx="46">
                  <c:v>-321439993.35870266</c:v>
                </c:pt>
                <c:pt idx="47">
                  <c:v>-18987071.515543938</c:v>
                </c:pt>
                <c:pt idx="48">
                  <c:v>-87404816.525768518</c:v>
                </c:pt>
                <c:pt idx="49">
                  <c:v>-248197790.64775681</c:v>
                </c:pt>
                <c:pt idx="50">
                  <c:v>-101256790.35879183</c:v>
                </c:pt>
                <c:pt idx="51">
                  <c:v>49469962.347707272</c:v>
                </c:pt>
                <c:pt idx="52">
                  <c:v>24337672.027622461</c:v>
                </c:pt>
                <c:pt idx="53">
                  <c:v>-3785684.6648299694</c:v>
                </c:pt>
                <c:pt idx="54">
                  <c:v>264046.98183131218</c:v>
                </c:pt>
                <c:pt idx="55">
                  <c:v>-104695433.89217973</c:v>
                </c:pt>
                <c:pt idx="56">
                  <c:v>-191400011.86941791</c:v>
                </c:pt>
                <c:pt idx="57">
                  <c:v>-76344636.598678827</c:v>
                </c:pt>
                <c:pt idx="58">
                  <c:v>-188559029.38786685</c:v>
                </c:pt>
                <c:pt idx="59">
                  <c:v>-44305963.964197874</c:v>
                </c:pt>
                <c:pt idx="60">
                  <c:v>-293770043.39604652</c:v>
                </c:pt>
                <c:pt idx="61">
                  <c:v>17172378.963694572</c:v>
                </c:pt>
                <c:pt idx="62">
                  <c:v>-65927345.209862709</c:v>
                </c:pt>
                <c:pt idx="63">
                  <c:v>-188688739.53012598</c:v>
                </c:pt>
                <c:pt idx="64">
                  <c:v>-92561004.406092644</c:v>
                </c:pt>
                <c:pt idx="65">
                  <c:v>-287729560.81313467</c:v>
                </c:pt>
                <c:pt idx="66">
                  <c:v>-296120355.0756048</c:v>
                </c:pt>
                <c:pt idx="67">
                  <c:v>-339062565.06315684</c:v>
                </c:pt>
                <c:pt idx="68">
                  <c:v>-315709542.51758885</c:v>
                </c:pt>
                <c:pt idx="69">
                  <c:v>-232975434.33140504</c:v>
                </c:pt>
                <c:pt idx="70">
                  <c:v>-61844609.32740438</c:v>
                </c:pt>
                <c:pt idx="71">
                  <c:v>-229722139.87688386</c:v>
                </c:pt>
                <c:pt idx="72">
                  <c:v>-329513103.43694484</c:v>
                </c:pt>
                <c:pt idx="73">
                  <c:v>-392806260.94916975</c:v>
                </c:pt>
                <c:pt idx="74">
                  <c:v>-383615507.87279415</c:v>
                </c:pt>
                <c:pt idx="75">
                  <c:v>-331314255.61263645</c:v>
                </c:pt>
                <c:pt idx="76">
                  <c:v>-213672600.36857033</c:v>
                </c:pt>
                <c:pt idx="77">
                  <c:v>166307462.01873612</c:v>
                </c:pt>
                <c:pt idx="78">
                  <c:v>-34433950.995399952</c:v>
                </c:pt>
                <c:pt idx="79">
                  <c:v>223053456.93649328</c:v>
                </c:pt>
                <c:pt idx="80">
                  <c:v>-235552357.18549502</c:v>
                </c:pt>
                <c:pt idx="81">
                  <c:v>-421500802.609164</c:v>
                </c:pt>
                <c:pt idx="82">
                  <c:v>-253345921.01762629</c:v>
                </c:pt>
                <c:pt idx="83">
                  <c:v>485487933.64761758</c:v>
                </c:pt>
                <c:pt idx="84">
                  <c:v>-157731786.1416595</c:v>
                </c:pt>
                <c:pt idx="85">
                  <c:v>4915294.0850656033</c:v>
                </c:pt>
                <c:pt idx="86">
                  <c:v>187043787.2147876</c:v>
                </c:pt>
                <c:pt idx="87">
                  <c:v>1442920907.9829912</c:v>
                </c:pt>
                <c:pt idx="88">
                  <c:v>300074258.23728168</c:v>
                </c:pt>
                <c:pt idx="89">
                  <c:v>244024430.87176263</c:v>
                </c:pt>
                <c:pt idx="90">
                  <c:v>87839977.177443743</c:v>
                </c:pt>
                <c:pt idx="91">
                  <c:v>7549524.606979847</c:v>
                </c:pt>
                <c:pt idx="92">
                  <c:v>-66768080.364123702</c:v>
                </c:pt>
                <c:pt idx="93">
                  <c:v>-734239424.74840379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CB-6641-9D78-40F9F618F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782463"/>
        <c:axId val="1938784111"/>
      </c:scatterChart>
      <c:valAx>
        <c:axId val="1938782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8784111"/>
        <c:crosses val="autoZero"/>
        <c:crossBetween val="midCat"/>
      </c:valAx>
      <c:valAx>
        <c:axId val="19387841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87824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Газпром!$A$2:$A$96</c:f>
              <c:numCache>
                <c:formatCode>General</c:formatCode>
                <c:ptCount val="94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181.01</c:v>
                </c:pt>
                <c:pt idx="93">
                  <c:v>181.95</c:v>
                </c:pt>
              </c:numCache>
            </c:numRef>
          </c:xVal>
          <c:yVal>
            <c:numRef>
              <c:f>Газпром!$B$2:$B$96</c:f>
              <c:numCache>
                <c:formatCode>#,##0</c:formatCode>
                <c:ptCount val="94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763622270</c:v>
                </c:pt>
                <c:pt idx="93">
                  <c:v>98371280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57-5848-AEB0-B47AAB9FB81A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Газпром!$A$2:$A$96</c:f>
              <c:numCache>
                <c:formatCode>General</c:formatCode>
                <c:ptCount val="94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181.01</c:v>
                </c:pt>
                <c:pt idx="93">
                  <c:v>181.95</c:v>
                </c:pt>
              </c:numCache>
            </c:numRef>
          </c:xVal>
          <c:yVal>
            <c:numRef>
              <c:f>Газпром!$J$71:$J$164</c:f>
              <c:numCache>
                <c:formatCode>General</c:formatCode>
                <c:ptCount val="94"/>
                <c:pt idx="0">
                  <c:v>742261177.94125772</c:v>
                </c:pt>
                <c:pt idx="1">
                  <c:v>738458230.53839493</c:v>
                </c:pt>
                <c:pt idx="2">
                  <c:v>727380079.40831602</c:v>
                </c:pt>
                <c:pt idx="3">
                  <c:v>719537976.68936896</c:v>
                </c:pt>
                <c:pt idx="4">
                  <c:v>696082530.90649414</c:v>
                </c:pt>
                <c:pt idx="5">
                  <c:v>694310971.55733442</c:v>
                </c:pt>
                <c:pt idx="6">
                  <c:v>660533239.96668887</c:v>
                </c:pt>
                <c:pt idx="7">
                  <c:v>706617403.836164</c:v>
                </c:pt>
                <c:pt idx="8">
                  <c:v>714388644.18114471</c:v>
                </c:pt>
                <c:pt idx="9">
                  <c:v>743324113.55075359</c:v>
                </c:pt>
                <c:pt idx="10">
                  <c:v>758087108.12708473</c:v>
                </c:pt>
                <c:pt idx="11">
                  <c:v>740843930.46192992</c:v>
                </c:pt>
                <c:pt idx="12">
                  <c:v>730568886.23680353</c:v>
                </c:pt>
                <c:pt idx="13">
                  <c:v>745709813.4742887</c:v>
                </c:pt>
                <c:pt idx="14">
                  <c:v>731631821.84629941</c:v>
                </c:pt>
                <c:pt idx="15">
                  <c:v>722892129.05711138</c:v>
                </c:pt>
                <c:pt idx="16">
                  <c:v>706995336.49731803</c:v>
                </c:pt>
                <c:pt idx="17">
                  <c:v>737537019.67683172</c:v>
                </c:pt>
                <c:pt idx="18">
                  <c:v>754685714.17669797</c:v>
                </c:pt>
                <c:pt idx="19">
                  <c:v>714624852.09436595</c:v>
                </c:pt>
                <c:pt idx="20">
                  <c:v>714506748.13775527</c:v>
                </c:pt>
                <c:pt idx="21">
                  <c:v>728561118.97442245</c:v>
                </c:pt>
                <c:pt idx="22">
                  <c:v>737064603.85038924</c:v>
                </c:pt>
                <c:pt idx="23">
                  <c:v>740277031.47019887</c:v>
                </c:pt>
                <c:pt idx="24">
                  <c:v>710632938.36092603</c:v>
                </c:pt>
                <c:pt idx="25">
                  <c:v>742544627.4371233</c:v>
                </c:pt>
                <c:pt idx="26">
                  <c:v>764110409.91422772</c:v>
                </c:pt>
                <c:pt idx="27">
                  <c:v>730923198.10663557</c:v>
                </c:pt>
                <c:pt idx="28">
                  <c:v>765409553.43694484</c:v>
                </c:pt>
                <c:pt idx="29">
                  <c:v>731159406.01985669</c:v>
                </c:pt>
                <c:pt idx="30">
                  <c:v>747339648.07551563</c:v>
                </c:pt>
                <c:pt idx="31">
                  <c:v>739426682.98260212</c:v>
                </c:pt>
                <c:pt idx="32">
                  <c:v>752866913.24489403</c:v>
                </c:pt>
                <c:pt idx="33">
                  <c:v>720648153.88150907</c:v>
                </c:pt>
                <c:pt idx="34">
                  <c:v>723482648.84016466</c:v>
                </c:pt>
                <c:pt idx="35">
                  <c:v>728797326.88764381</c:v>
                </c:pt>
                <c:pt idx="36">
                  <c:v>724285755.74511695</c:v>
                </c:pt>
                <c:pt idx="37">
                  <c:v>725490416.10254562</c:v>
                </c:pt>
                <c:pt idx="38">
                  <c:v>736828395.93716788</c:v>
                </c:pt>
                <c:pt idx="39">
                  <c:v>751827598.42672026</c:v>
                </c:pt>
                <c:pt idx="40">
                  <c:v>800769878.0461731</c:v>
                </c:pt>
                <c:pt idx="41">
                  <c:v>746512920.37924111</c:v>
                </c:pt>
                <c:pt idx="42">
                  <c:v>732364066.37728536</c:v>
                </c:pt>
                <c:pt idx="43">
                  <c:v>727143871.49509478</c:v>
                </c:pt>
                <c:pt idx="44">
                  <c:v>721592985.53439426</c:v>
                </c:pt>
                <c:pt idx="45">
                  <c:v>721474881.57778358</c:v>
                </c:pt>
                <c:pt idx="46">
                  <c:v>730781473.35870266</c:v>
                </c:pt>
                <c:pt idx="47">
                  <c:v>754307781.51554394</c:v>
                </c:pt>
                <c:pt idx="48">
                  <c:v>767889736.52576852</c:v>
                </c:pt>
                <c:pt idx="49">
                  <c:v>756669860.64775681</c:v>
                </c:pt>
                <c:pt idx="50">
                  <c:v>719349010.35879183</c:v>
                </c:pt>
                <c:pt idx="51">
                  <c:v>704940327.65229273</c:v>
                </c:pt>
                <c:pt idx="52">
                  <c:v>725844727.97237754</c:v>
                </c:pt>
                <c:pt idx="53">
                  <c:v>686941284.66482997</c:v>
                </c:pt>
                <c:pt idx="54">
                  <c:v>682713163.01816869</c:v>
                </c:pt>
                <c:pt idx="55">
                  <c:v>677067793.89217973</c:v>
                </c:pt>
                <c:pt idx="56">
                  <c:v>681484881.86941791</c:v>
                </c:pt>
                <c:pt idx="57">
                  <c:v>691476476.59867883</c:v>
                </c:pt>
                <c:pt idx="58">
                  <c:v>700216169.38786685</c:v>
                </c:pt>
                <c:pt idx="59">
                  <c:v>714979163.96419787</c:v>
                </c:pt>
                <c:pt idx="60">
                  <c:v>711081733.39604652</c:v>
                </c:pt>
                <c:pt idx="61">
                  <c:v>741458071.03630543</c:v>
                </c:pt>
                <c:pt idx="62">
                  <c:v>740985655.20986271</c:v>
                </c:pt>
                <c:pt idx="63">
                  <c:v>739025129.53012598</c:v>
                </c:pt>
                <c:pt idx="64">
                  <c:v>747528614.40609264</c:v>
                </c:pt>
                <c:pt idx="65">
                  <c:v>745331880.81313467</c:v>
                </c:pt>
                <c:pt idx="66">
                  <c:v>735907185.0756048</c:v>
                </c:pt>
                <c:pt idx="67">
                  <c:v>742473765.06315684</c:v>
                </c:pt>
                <c:pt idx="68">
                  <c:v>757024172.51758885</c:v>
                </c:pt>
                <c:pt idx="69">
                  <c:v>786928094.33140504</c:v>
                </c:pt>
                <c:pt idx="70">
                  <c:v>770062849.32740438</c:v>
                </c:pt>
                <c:pt idx="71">
                  <c:v>783810149.87688386</c:v>
                </c:pt>
                <c:pt idx="72">
                  <c:v>765409553.43694484</c:v>
                </c:pt>
                <c:pt idx="73">
                  <c:v>787424130.94916975</c:v>
                </c:pt>
                <c:pt idx="74">
                  <c:v>778377367.87279415</c:v>
                </c:pt>
                <c:pt idx="75">
                  <c:v>756221065.61263645</c:v>
                </c:pt>
                <c:pt idx="76">
                  <c:v>790093280.36857033</c:v>
                </c:pt>
                <c:pt idx="77">
                  <c:v>910913627.98126388</c:v>
                </c:pt>
                <c:pt idx="78">
                  <c:v>952793290.99539995</c:v>
                </c:pt>
                <c:pt idx="79">
                  <c:v>962406953.06350672</c:v>
                </c:pt>
                <c:pt idx="80">
                  <c:v>951187077.18549502</c:v>
                </c:pt>
                <c:pt idx="81">
                  <c:v>936424082.609164</c:v>
                </c:pt>
                <c:pt idx="82">
                  <c:v>1016970981.0176263</c:v>
                </c:pt>
                <c:pt idx="83">
                  <c:v>1011160266.3523824</c:v>
                </c:pt>
                <c:pt idx="84">
                  <c:v>1008467496.1416595</c:v>
                </c:pt>
                <c:pt idx="85">
                  <c:v>938313745.9149344</c:v>
                </c:pt>
                <c:pt idx="86">
                  <c:v>881505742.7852124</c:v>
                </c:pt>
                <c:pt idx="87">
                  <c:v>831335182.0170089</c:v>
                </c:pt>
                <c:pt idx="88">
                  <c:v>851625441.76271832</c:v>
                </c:pt>
                <c:pt idx="89">
                  <c:v>875128129.12823737</c:v>
                </c:pt>
                <c:pt idx="90">
                  <c:v>861806002.82255626</c:v>
                </c:pt>
                <c:pt idx="91">
                  <c:v>834122435.39302015</c:v>
                </c:pt>
                <c:pt idx="92">
                  <c:v>830390350.3641237</c:v>
                </c:pt>
                <c:pt idx="93">
                  <c:v>832610704.74840379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57-5848-AEB0-B47AAB9FB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937727"/>
        <c:axId val="1860788383"/>
      </c:scatterChart>
      <c:valAx>
        <c:axId val="1860937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0788383"/>
        <c:crosses val="autoZero"/>
        <c:crossBetween val="midCat"/>
      </c:valAx>
      <c:valAx>
        <c:axId val="18607883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18609377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Газпром!$N$71:$N$164</c:f>
              <c:numCache>
                <c:formatCode>General</c:formatCode>
                <c:ptCount val="94"/>
                <c:pt idx="0">
                  <c:v>0.53191489361702127</c:v>
                </c:pt>
                <c:pt idx="1">
                  <c:v>1.5957446808510638</c:v>
                </c:pt>
                <c:pt idx="2">
                  <c:v>2.6595744680851063</c:v>
                </c:pt>
                <c:pt idx="3">
                  <c:v>3.7234042553191489</c:v>
                </c:pt>
                <c:pt idx="4">
                  <c:v>4.787234042553191</c:v>
                </c:pt>
                <c:pt idx="5">
                  <c:v>5.8510638297872344</c:v>
                </c:pt>
                <c:pt idx="6">
                  <c:v>6.914893617021276</c:v>
                </c:pt>
                <c:pt idx="7">
                  <c:v>7.9787234042553195</c:v>
                </c:pt>
                <c:pt idx="8">
                  <c:v>9.0425531914893611</c:v>
                </c:pt>
                <c:pt idx="9">
                  <c:v>10.106382978723403</c:v>
                </c:pt>
                <c:pt idx="10">
                  <c:v>11.170212765957446</c:v>
                </c:pt>
                <c:pt idx="11">
                  <c:v>12.23404255319149</c:v>
                </c:pt>
                <c:pt idx="12">
                  <c:v>13.297872340425531</c:v>
                </c:pt>
                <c:pt idx="13">
                  <c:v>14.361702127659573</c:v>
                </c:pt>
                <c:pt idx="14">
                  <c:v>15.425531914893616</c:v>
                </c:pt>
                <c:pt idx="15">
                  <c:v>16.48936170212766</c:v>
                </c:pt>
                <c:pt idx="16">
                  <c:v>17.553191489361701</c:v>
                </c:pt>
                <c:pt idx="17">
                  <c:v>18.617021276595743</c:v>
                </c:pt>
                <c:pt idx="18">
                  <c:v>19.680851063829785</c:v>
                </c:pt>
                <c:pt idx="19">
                  <c:v>20.74468085106383</c:v>
                </c:pt>
                <c:pt idx="20">
                  <c:v>21.808510638297872</c:v>
                </c:pt>
                <c:pt idx="21">
                  <c:v>22.872340425531913</c:v>
                </c:pt>
                <c:pt idx="22">
                  <c:v>23.936170212765958</c:v>
                </c:pt>
                <c:pt idx="23">
                  <c:v>25</c:v>
                </c:pt>
                <c:pt idx="24">
                  <c:v>26.063829787234042</c:v>
                </c:pt>
                <c:pt idx="25">
                  <c:v>27.127659574468083</c:v>
                </c:pt>
                <c:pt idx="26">
                  <c:v>28.191489361702125</c:v>
                </c:pt>
                <c:pt idx="27">
                  <c:v>29.25531914893617</c:v>
                </c:pt>
                <c:pt idx="28">
                  <c:v>30.319148936170212</c:v>
                </c:pt>
                <c:pt idx="29">
                  <c:v>31.382978723404253</c:v>
                </c:pt>
                <c:pt idx="30">
                  <c:v>32.446808510638299</c:v>
                </c:pt>
                <c:pt idx="31">
                  <c:v>33.51063829787234</c:v>
                </c:pt>
                <c:pt idx="32">
                  <c:v>34.574468085106382</c:v>
                </c:pt>
                <c:pt idx="33">
                  <c:v>35.638297872340424</c:v>
                </c:pt>
                <c:pt idx="34">
                  <c:v>36.702127659574465</c:v>
                </c:pt>
                <c:pt idx="35">
                  <c:v>37.765957446808507</c:v>
                </c:pt>
                <c:pt idx="36">
                  <c:v>38.829787234042549</c:v>
                </c:pt>
                <c:pt idx="37">
                  <c:v>39.893617021276597</c:v>
                </c:pt>
                <c:pt idx="38">
                  <c:v>40.957446808510639</c:v>
                </c:pt>
                <c:pt idx="39">
                  <c:v>42.021276595744681</c:v>
                </c:pt>
                <c:pt idx="40">
                  <c:v>43.085106382978722</c:v>
                </c:pt>
                <c:pt idx="41">
                  <c:v>44.148936170212764</c:v>
                </c:pt>
                <c:pt idx="42">
                  <c:v>45.212765957446805</c:v>
                </c:pt>
                <c:pt idx="43">
                  <c:v>46.276595744680847</c:v>
                </c:pt>
                <c:pt idx="44">
                  <c:v>47.340425531914896</c:v>
                </c:pt>
                <c:pt idx="45">
                  <c:v>48.404255319148938</c:v>
                </c:pt>
                <c:pt idx="46">
                  <c:v>49.468085106382979</c:v>
                </c:pt>
                <c:pt idx="47">
                  <c:v>50.531914893617021</c:v>
                </c:pt>
                <c:pt idx="48">
                  <c:v>51.595744680851062</c:v>
                </c:pt>
                <c:pt idx="49">
                  <c:v>52.659574468085104</c:v>
                </c:pt>
                <c:pt idx="50">
                  <c:v>53.723404255319146</c:v>
                </c:pt>
                <c:pt idx="51">
                  <c:v>54.787234042553187</c:v>
                </c:pt>
                <c:pt idx="52">
                  <c:v>55.851063829787229</c:v>
                </c:pt>
                <c:pt idx="53">
                  <c:v>56.914893617021278</c:v>
                </c:pt>
                <c:pt idx="54">
                  <c:v>57.978723404255319</c:v>
                </c:pt>
                <c:pt idx="55">
                  <c:v>59.042553191489361</c:v>
                </c:pt>
                <c:pt idx="56">
                  <c:v>60.106382978723403</c:v>
                </c:pt>
                <c:pt idx="57">
                  <c:v>61.170212765957444</c:v>
                </c:pt>
                <c:pt idx="58">
                  <c:v>62.234042553191486</c:v>
                </c:pt>
                <c:pt idx="59">
                  <c:v>63.297872340425528</c:v>
                </c:pt>
                <c:pt idx="60">
                  <c:v>64.361702127659584</c:v>
                </c:pt>
                <c:pt idx="61">
                  <c:v>65.425531914893625</c:v>
                </c:pt>
                <c:pt idx="62">
                  <c:v>66.489361702127667</c:v>
                </c:pt>
                <c:pt idx="63">
                  <c:v>67.553191489361708</c:v>
                </c:pt>
                <c:pt idx="64">
                  <c:v>68.61702127659575</c:v>
                </c:pt>
                <c:pt idx="65">
                  <c:v>69.680851063829792</c:v>
                </c:pt>
                <c:pt idx="66">
                  <c:v>70.744680851063833</c:v>
                </c:pt>
                <c:pt idx="67">
                  <c:v>71.808510638297875</c:v>
                </c:pt>
                <c:pt idx="68">
                  <c:v>72.872340425531917</c:v>
                </c:pt>
                <c:pt idx="69">
                  <c:v>73.936170212765958</c:v>
                </c:pt>
                <c:pt idx="70">
                  <c:v>75</c:v>
                </c:pt>
                <c:pt idx="71">
                  <c:v>76.063829787234042</c:v>
                </c:pt>
                <c:pt idx="72">
                  <c:v>77.127659574468083</c:v>
                </c:pt>
                <c:pt idx="73">
                  <c:v>78.191489361702139</c:v>
                </c:pt>
                <c:pt idx="74">
                  <c:v>79.255319148936181</c:v>
                </c:pt>
                <c:pt idx="75">
                  <c:v>80.319148936170222</c:v>
                </c:pt>
                <c:pt idx="76">
                  <c:v>81.382978723404264</c:v>
                </c:pt>
                <c:pt idx="77">
                  <c:v>82.446808510638306</c:v>
                </c:pt>
                <c:pt idx="78">
                  <c:v>83.510638297872347</c:v>
                </c:pt>
                <c:pt idx="79">
                  <c:v>84.574468085106389</c:v>
                </c:pt>
                <c:pt idx="80">
                  <c:v>85.638297872340431</c:v>
                </c:pt>
                <c:pt idx="81">
                  <c:v>86.702127659574472</c:v>
                </c:pt>
                <c:pt idx="82">
                  <c:v>87.765957446808514</c:v>
                </c:pt>
                <c:pt idx="83">
                  <c:v>88.829787234042556</c:v>
                </c:pt>
                <c:pt idx="84">
                  <c:v>89.893617021276597</c:v>
                </c:pt>
                <c:pt idx="85">
                  <c:v>90.957446808510639</c:v>
                </c:pt>
                <c:pt idx="86">
                  <c:v>92.021276595744681</c:v>
                </c:pt>
                <c:pt idx="87">
                  <c:v>93.085106382978722</c:v>
                </c:pt>
                <c:pt idx="88">
                  <c:v>94.148936170212778</c:v>
                </c:pt>
                <c:pt idx="89">
                  <c:v>95.21276595744682</c:v>
                </c:pt>
                <c:pt idx="90">
                  <c:v>96.276595744680861</c:v>
                </c:pt>
                <c:pt idx="91">
                  <c:v>97.340425531914903</c:v>
                </c:pt>
                <c:pt idx="92">
                  <c:v>98.404255319148945</c:v>
                </c:pt>
                <c:pt idx="93">
                  <c:v>99.468085106382986</c:v>
                </c:pt>
              </c:numCache>
            </c:numRef>
          </c:xVal>
          <c:yVal>
            <c:numRef>
              <c:f>Газпром!$O$71:$O$164</c:f>
              <c:numCache>
                <c:formatCode>General</c:formatCode>
                <c:ptCount val="94"/>
                <c:pt idx="0">
                  <c:v>98371280</c:v>
                </c:pt>
                <c:pt idx="1">
                  <c:v>394617870</c:v>
                </c:pt>
                <c:pt idx="2">
                  <c:v>394761860</c:v>
                </c:pt>
                <c:pt idx="3">
                  <c:v>403411200</c:v>
                </c:pt>
                <c:pt idx="4">
                  <c:v>409341480</c:v>
                </c:pt>
                <c:pt idx="5">
                  <c:v>417311690</c:v>
                </c:pt>
                <c:pt idx="6">
                  <c:v>424906810</c:v>
                </c:pt>
                <c:pt idx="7">
                  <c:v>435896450</c:v>
                </c:pt>
                <c:pt idx="8">
                  <c:v>439786830</c:v>
                </c:pt>
                <c:pt idx="9">
                  <c:v>441314630</c:v>
                </c:pt>
                <c:pt idx="10">
                  <c:v>457602320</c:v>
                </c:pt>
                <c:pt idx="11">
                  <c:v>472091480</c:v>
                </c:pt>
                <c:pt idx="12">
                  <c:v>472860350</c:v>
                </c:pt>
                <c:pt idx="13">
                  <c:v>490084870</c:v>
                </c:pt>
                <c:pt idx="14">
                  <c:v>495283520</c:v>
                </c:pt>
                <c:pt idx="15">
                  <c:v>505531930</c:v>
                </c:pt>
                <c:pt idx="16">
                  <c:v>508472070</c:v>
                </c:pt>
                <c:pt idx="17">
                  <c:v>511657140</c:v>
                </c:pt>
                <c:pt idx="18">
                  <c:v>514923280</c:v>
                </c:pt>
                <c:pt idx="19">
                  <c:v>533051950</c:v>
                </c:pt>
                <c:pt idx="20">
                  <c:v>538549300</c:v>
                </c:pt>
                <c:pt idx="21">
                  <c:v>543868920</c:v>
                </c:pt>
                <c:pt idx="22">
                  <c:v>550336390</c:v>
                </c:pt>
                <c:pt idx="23">
                  <c:v>553952660</c:v>
                </c:pt>
                <c:pt idx="24">
                  <c:v>554088010</c:v>
                </c:pt>
                <c:pt idx="25">
                  <c:v>567536440</c:v>
                </c:pt>
                <c:pt idx="26">
                  <c:v>572372360</c:v>
                </c:pt>
                <c:pt idx="27">
                  <c:v>576420680</c:v>
                </c:pt>
                <c:pt idx="28">
                  <c:v>614480400</c:v>
                </c:pt>
                <c:pt idx="29">
                  <c:v>615131840</c:v>
                </c:pt>
                <c:pt idx="30">
                  <c:v>618092220</c:v>
                </c:pt>
                <c:pt idx="31">
                  <c:v>632658380</c:v>
                </c:pt>
                <c:pt idx="32">
                  <c:v>635494510</c:v>
                </c:pt>
                <c:pt idx="33">
                  <c:v>638968460</c:v>
                </c:pt>
                <c:pt idx="34">
                  <c:v>642613120</c:v>
                </c:pt>
                <c:pt idx="35">
                  <c:v>646257900</c:v>
                </c:pt>
                <c:pt idx="36">
                  <c:v>652102830</c:v>
                </c:pt>
                <c:pt idx="37">
                  <c:v>654231910</c:v>
                </c:pt>
                <c:pt idx="38">
                  <c:v>654967610</c:v>
                </c:pt>
                <c:pt idx="39">
                  <c:v>662677050</c:v>
                </c:pt>
                <c:pt idx="40">
                  <c:v>670673200</c:v>
                </c:pt>
                <c:pt idx="41">
                  <c:v>675058310</c:v>
                </c:pt>
                <c:pt idx="42">
                  <c:v>680484920</c:v>
                </c:pt>
                <c:pt idx="43">
                  <c:v>682977210</c:v>
                </c:pt>
                <c:pt idx="44">
                  <c:v>683155600</c:v>
                </c:pt>
                <c:pt idx="45">
                  <c:v>691989260</c:v>
                </c:pt>
                <c:pt idx="46">
                  <c:v>708218240</c:v>
                </c:pt>
                <c:pt idx="47">
                  <c:v>715634720</c:v>
                </c:pt>
                <c:pt idx="48">
                  <c:v>718069290</c:v>
                </c:pt>
                <c:pt idx="49">
                  <c:v>727388150</c:v>
                </c:pt>
                <c:pt idx="50">
                  <c:v>731620780</c:v>
                </c:pt>
                <c:pt idx="51">
                  <c:v>733770920</c:v>
                </c:pt>
                <c:pt idx="52">
                  <c:v>735320710</c:v>
                </c:pt>
                <c:pt idx="53">
                  <c:v>750182400</c:v>
                </c:pt>
                <c:pt idx="54">
                  <c:v>754410290</c:v>
                </c:pt>
                <c:pt idx="55">
                  <c:v>758630450</c:v>
                </c:pt>
                <c:pt idx="56">
                  <c:v>763622270</c:v>
                </c:pt>
                <c:pt idx="57">
                  <c:v>763625060</c:v>
                </c:pt>
                <c:pt idx="58">
                  <c:v>769293390</c:v>
                </c:pt>
                <c:pt idx="59">
                  <c:v>785173850</c:v>
                </c:pt>
                <c:pt idx="60">
                  <c:v>797896850</c:v>
                </c:pt>
                <c:pt idx="61">
                  <c:v>813775000</c:v>
                </c:pt>
                <c:pt idx="62">
                  <c:v>821523460</c:v>
                </c:pt>
                <c:pt idx="63">
                  <c:v>841671960</c:v>
                </c:pt>
                <c:pt idx="64">
                  <c:v>850735710</c:v>
                </c:pt>
                <c:pt idx="65">
                  <c:v>851294800</c:v>
                </c:pt>
                <c:pt idx="66">
                  <c:v>857933800</c:v>
                </c:pt>
                <c:pt idx="67">
                  <c:v>879462790</c:v>
                </c:pt>
                <c:pt idx="68">
                  <c:v>885913470</c:v>
                </c:pt>
                <c:pt idx="69">
                  <c:v>918359340</c:v>
                </c:pt>
                <c:pt idx="70">
                  <c:v>919520350</c:v>
                </c:pt>
                <c:pt idx="71">
                  <c:v>941606540</c:v>
                </c:pt>
                <c:pt idx="72">
                  <c:v>943229040</c:v>
                </c:pt>
                <c:pt idx="73">
                  <c:v>949645980</c:v>
                </c:pt>
                <c:pt idx="74">
                  <c:v>953973070</c:v>
                </c:pt>
                <c:pt idx="75">
                  <c:v>983856510</c:v>
                </c:pt>
                <c:pt idx="76">
                  <c:v>986321760</c:v>
                </c:pt>
                <c:pt idx="77">
                  <c:v>1004959980</c:v>
                </c:pt>
                <c:pt idx="78">
                  <c:v>1035314530</c:v>
                </c:pt>
                <c:pt idx="79">
                  <c:v>1035969280</c:v>
                </c:pt>
                <c:pt idx="80">
                  <c:v>1050788060</c:v>
                </c:pt>
                <c:pt idx="81">
                  <c:v>1056510690</c:v>
                </c:pt>
                <c:pt idx="82">
                  <c:v>1068549530</c:v>
                </c:pt>
                <c:pt idx="83">
                  <c:v>1077221090</c:v>
                </c:pt>
                <c:pt idx="84">
                  <c:v>1110186930</c:v>
                </c:pt>
                <c:pt idx="85">
                  <c:v>1119152560</c:v>
                </c:pt>
                <c:pt idx="86">
                  <c:v>1120379070</c:v>
                </c:pt>
                <c:pt idx="87">
                  <c:v>1151699700</c:v>
                </c:pt>
                <c:pt idx="88">
                  <c:v>1168270410</c:v>
                </c:pt>
                <c:pt idx="89">
                  <c:v>1185460410</c:v>
                </c:pt>
                <c:pt idx="90">
                  <c:v>1377698400</c:v>
                </c:pt>
                <c:pt idx="91">
                  <c:v>1496648200</c:v>
                </c:pt>
                <c:pt idx="92">
                  <c:v>2038314440</c:v>
                </c:pt>
                <c:pt idx="93">
                  <c:v>2274256090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45-4A4F-8423-C1299CB3B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132527"/>
        <c:axId val="1942134207"/>
      </c:scatterChart>
      <c:valAx>
        <c:axId val="1942132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2134207"/>
        <c:crosses val="autoZero"/>
        <c:crossBetween val="midCat"/>
      </c:valAx>
      <c:valAx>
        <c:axId val="19421342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21325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362717969307179E-2"/>
          <c:y val="1.5292525353678366E-2"/>
          <c:w val="0.79913339050440479"/>
          <c:h val="0.84105783782598209"/>
        </c:manualLayout>
      </c:layout>
      <c:scatterChart>
        <c:scatterStyle val="lineMarker"/>
        <c:varyColors val="0"/>
        <c:ser>
          <c:idx val="0"/>
          <c:order val="0"/>
          <c:tx>
            <c:strRef>
              <c:f>Газпром!$B$1</c:f>
              <c:strCache>
                <c:ptCount val="1"/>
                <c:pt idx="0">
                  <c:v>Газпром-объем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Газпром!$A$2:$A$96</c:f>
              <c:numCache>
                <c:formatCode>General</c:formatCode>
                <c:ptCount val="94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181.01</c:v>
                </c:pt>
                <c:pt idx="93">
                  <c:v>181.95</c:v>
                </c:pt>
              </c:numCache>
            </c:numRef>
          </c:xVal>
          <c:yVal>
            <c:numRef>
              <c:f>Газпром!$B$2:$B$96</c:f>
              <c:numCache>
                <c:formatCode>#,##0</c:formatCode>
                <c:ptCount val="94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763622270</c:v>
                </c:pt>
                <c:pt idx="93">
                  <c:v>98371280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28-C345-8735-BE0AEA593B3F}"/>
            </c:ext>
          </c:extLst>
        </c:ser>
        <c:ser>
          <c:idx val="1"/>
          <c:order val="1"/>
          <c:tx>
            <c:v>Тренд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Газпром!$A$2:$A$95</c:f>
              <c:numCache>
                <c:formatCode>General</c:formatCode>
                <c:ptCount val="94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181.01</c:v>
                </c:pt>
                <c:pt idx="93">
                  <c:v>181.95</c:v>
                </c:pt>
              </c:numCache>
            </c:numRef>
          </c:xVal>
          <c:yVal>
            <c:numRef>
              <c:f>Газпром!$C$2:$C$95</c:f>
              <c:numCache>
                <c:formatCode>General</c:formatCode>
                <c:ptCount val="94"/>
                <c:pt idx="0">
                  <c:v>1728709624.8708887</c:v>
                </c:pt>
                <c:pt idx="1">
                  <c:v>1743468089.8612018</c:v>
                </c:pt>
                <c:pt idx="2">
                  <c:v>1786460140.0503752</c:v>
                </c:pt>
                <c:pt idx="3">
                  <c:v>1816893744.8751204</c:v>
                </c:pt>
                <c:pt idx="4">
                  <c:v>1907919556.896121</c:v>
                </c:pt>
                <c:pt idx="5">
                  <c:v>1914794618.2270122</c:v>
                </c:pt>
                <c:pt idx="6">
                  <c:v>2045879120.9360058</c:v>
                </c:pt>
                <c:pt idx="7">
                  <c:v>1867035858.8484209</c:v>
                </c:pt>
                <c:pt idx="8">
                  <c:v>1836877256.4769111</c:v>
                </c:pt>
                <c:pt idx="9">
                  <c:v>1724584588.0723538</c:v>
                </c:pt>
                <c:pt idx="10">
                  <c:v>1667292410.3149266</c:v>
                </c:pt>
                <c:pt idx="11">
                  <c:v>1734209673.9356017</c:v>
                </c:pt>
                <c:pt idx="12">
                  <c:v>1774085029.6547709</c:v>
                </c:pt>
                <c:pt idx="13">
                  <c:v>1715326172.1467535</c:v>
                </c:pt>
                <c:pt idx="14">
                  <c:v>1769959992.8562362</c:v>
                </c:pt>
                <c:pt idx="15">
                  <c:v>1803876962.0886331</c:v>
                </c:pt>
                <c:pt idx="16">
                  <c:v>1865569179.0978308</c:v>
                </c:pt>
                <c:pt idx="17">
                  <c:v>1747043121.7532654</c:v>
                </c:pt>
                <c:pt idx="18">
                  <c:v>1680492528.0702379</c:v>
                </c:pt>
                <c:pt idx="19">
                  <c:v>1835960581.6327925</c:v>
                </c:pt>
                <c:pt idx="20">
                  <c:v>1836418919.054852</c:v>
                </c:pt>
                <c:pt idx="21">
                  <c:v>1781876765.8297811</c:v>
                </c:pt>
                <c:pt idx="22">
                  <c:v>1748876471.441503</c:v>
                </c:pt>
                <c:pt idx="23">
                  <c:v>1736409693.5614867</c:v>
                </c:pt>
                <c:pt idx="24">
                  <c:v>1851452386.4984007</c:v>
                </c:pt>
                <c:pt idx="25">
                  <c:v>1727609615.057946</c:v>
                </c:pt>
                <c:pt idx="26">
                  <c:v>1643917201.7898965</c:v>
                </c:pt>
                <c:pt idx="27">
                  <c:v>1772710017.3885927</c:v>
                </c:pt>
                <c:pt idx="28">
                  <c:v>1638875490.1472428</c:v>
                </c:pt>
                <c:pt idx="29">
                  <c:v>1771793342.5444739</c:v>
                </c:pt>
                <c:pt idx="30">
                  <c:v>1709001115.7223337</c:v>
                </c:pt>
                <c:pt idx="31">
                  <c:v>1739709723.0003147</c:v>
                </c:pt>
                <c:pt idx="32">
                  <c:v>1687550924.3699529</c:v>
                </c:pt>
                <c:pt idx="33">
                  <c:v>1812585373.1077619</c:v>
                </c:pt>
                <c:pt idx="34">
                  <c:v>1801585274.9783361</c:v>
                </c:pt>
                <c:pt idx="35">
                  <c:v>1780960090.9856622</c:v>
                </c:pt>
                <c:pt idx="36">
                  <c:v>1798468580.508332</c:v>
                </c:pt>
                <c:pt idx="37">
                  <c:v>1793793538.8033259</c:v>
                </c:pt>
                <c:pt idx="38">
                  <c:v>1749793146.2856219</c:v>
                </c:pt>
                <c:pt idx="39">
                  <c:v>1691584293.6840758</c:v>
                </c:pt>
                <c:pt idx="40">
                  <c:v>1501649265.9826529</c:v>
                </c:pt>
                <c:pt idx="41">
                  <c:v>1712209477.6767495</c:v>
                </c:pt>
                <c:pt idx="42">
                  <c:v>1767118300.839468</c:v>
                </c:pt>
                <c:pt idx="43">
                  <c:v>1787376814.8944941</c:v>
                </c:pt>
                <c:pt idx="44">
                  <c:v>1808918673.7312868</c:v>
                </c:pt>
                <c:pt idx="45">
                  <c:v>1809377011.1533461</c:v>
                </c:pt>
                <c:pt idx="46">
                  <c:v>1773260022.295064</c:v>
                </c:pt>
                <c:pt idx="47">
                  <c:v>1681959207.820828</c:v>
                </c:pt>
                <c:pt idx="48">
                  <c:v>1629250404.2839949</c:v>
                </c:pt>
                <c:pt idx="49">
                  <c:v>1672792459.3796396</c:v>
                </c:pt>
                <c:pt idx="50">
                  <c:v>1817627084.7504156</c:v>
                </c:pt>
                <c:pt idx="51">
                  <c:v>1873544250.2416646</c:v>
                </c:pt>
                <c:pt idx="52">
                  <c:v>1792418526.5371478</c:v>
                </c:pt>
                <c:pt idx="53">
                  <c:v>1943394873.3635199</c:v>
                </c:pt>
                <c:pt idx="54">
                  <c:v>1959803353.0732472</c:v>
                </c:pt>
                <c:pt idx="55">
                  <c:v>1981711881.8476872</c:v>
                </c:pt>
                <c:pt idx="56">
                  <c:v>1964570062.262665</c:v>
                </c:pt>
                <c:pt idx="57">
                  <c:v>1925794716.3564382</c:v>
                </c:pt>
                <c:pt idx="58">
                  <c:v>1891877747.1240413</c:v>
                </c:pt>
                <c:pt idx="59">
                  <c:v>1834585569.3666141</c:v>
                </c:pt>
                <c:pt idx="60">
                  <c:v>1849710704.294575</c:v>
                </c:pt>
                <c:pt idx="61">
                  <c:v>1731826319.3408926</c:v>
                </c:pt>
                <c:pt idx="62">
                  <c:v>1733659669.0291305</c:v>
                </c:pt>
                <c:pt idx="63">
                  <c:v>1741268070.2353165</c:v>
                </c:pt>
                <c:pt idx="64">
                  <c:v>1708267775.8470385</c:v>
                </c:pt>
                <c:pt idx="65">
                  <c:v>1716792851.8973436</c:v>
                </c:pt>
                <c:pt idx="66">
                  <c:v>1753368178.1776853</c:v>
                </c:pt>
                <c:pt idx="67">
                  <c:v>1727884617.5111818</c:v>
                </c:pt>
                <c:pt idx="68">
                  <c:v>1671417447.1134615</c:v>
                </c:pt>
                <c:pt idx="69">
                  <c:v>1555366411.8480167</c:v>
                </c:pt>
                <c:pt idx="70">
                  <c:v>1620816995.7181017</c:v>
                </c:pt>
                <c:pt idx="71">
                  <c:v>1567466519.7903855</c:v>
                </c:pt>
                <c:pt idx="72">
                  <c:v>1638875490.1472428</c:v>
                </c:pt>
                <c:pt idx="73">
                  <c:v>1553441394.6753674</c:v>
                </c:pt>
                <c:pt idx="74">
                  <c:v>1588550041.2051184</c:v>
                </c:pt>
                <c:pt idx="75">
                  <c:v>1674534141.5834653</c:v>
                </c:pt>
                <c:pt idx="76">
                  <c:v>1543082968.9368246</c:v>
                </c:pt>
                <c:pt idx="77">
                  <c:v>1074203786.1700399</c:v>
                </c:pt>
                <c:pt idx="78">
                  <c:v>911677336.30777025</c:v>
                </c:pt>
                <c:pt idx="79">
                  <c:v>874368670.15213346</c:v>
                </c:pt>
                <c:pt idx="80">
                  <c:v>917910725.24777842</c:v>
                </c:pt>
                <c:pt idx="81">
                  <c:v>975202903.00520563</c:v>
                </c:pt>
                <c:pt idx="82">
                  <c:v>662616781.16068268</c:v>
                </c:pt>
                <c:pt idx="83">
                  <c:v>685166982.32600594</c:v>
                </c:pt>
                <c:pt idx="84">
                  <c:v>695617075.54896069</c:v>
                </c:pt>
                <c:pt idx="85">
                  <c:v>967869504.25225496</c:v>
                </c:pt>
                <c:pt idx="86">
                  <c:v>1188329804.2628348</c:v>
                </c:pt>
                <c:pt idx="87">
                  <c:v>1383031541.1536756</c:v>
                </c:pt>
                <c:pt idx="88">
                  <c:v>1304289172.0438676</c:v>
                </c:pt>
                <c:pt idx="89">
                  <c:v>1213080025.0540435</c:v>
                </c:pt>
                <c:pt idx="90">
                  <c:v>1264780486.2623458</c:v>
                </c:pt>
                <c:pt idx="91">
                  <c:v>1372214777.9930732</c:v>
                </c:pt>
                <c:pt idx="92">
                  <c:v>1386698240.5301511</c:v>
                </c:pt>
                <c:pt idx="93">
                  <c:v>1378081496.995434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28-C345-8735-BE0AEA593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440672"/>
        <c:axId val="904416688"/>
      </c:scatterChart>
      <c:valAx>
        <c:axId val="90444067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416688"/>
        <c:crosses val="autoZero"/>
        <c:crossBetween val="midCat"/>
      </c:valAx>
      <c:valAx>
        <c:axId val="9044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4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ВТБ!$A$2:$A$94</c:f>
              <c:numCache>
                <c:formatCode>0.00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ВТБ!$K$71:$K$163</c:f>
              <c:numCache>
                <c:formatCode>General</c:formatCode>
                <c:ptCount val="93"/>
                <c:pt idx="0">
                  <c:v>-165122747588.24988</c:v>
                </c:pt>
                <c:pt idx="1">
                  <c:v>55320210702.824463</c:v>
                </c:pt>
                <c:pt idx="2">
                  <c:v>392030645544.73682</c:v>
                </c:pt>
                <c:pt idx="3">
                  <c:v>54123966827.768433</c:v>
                </c:pt>
                <c:pt idx="4">
                  <c:v>569292252074.70093</c:v>
                </c:pt>
                <c:pt idx="5">
                  <c:v>240891294909.84229</c:v>
                </c:pt>
                <c:pt idx="6">
                  <c:v>115572708082.03296</c:v>
                </c:pt>
                <c:pt idx="7">
                  <c:v>27393302469.28418</c:v>
                </c:pt>
                <c:pt idx="8">
                  <c:v>-260774806137.96558</c:v>
                </c:pt>
                <c:pt idx="9">
                  <c:v>65971991183.708984</c:v>
                </c:pt>
                <c:pt idx="10">
                  <c:v>408641916757.25366</c:v>
                </c:pt>
                <c:pt idx="11">
                  <c:v>451811650838.7666</c:v>
                </c:pt>
                <c:pt idx="12">
                  <c:v>252989740266.49365</c:v>
                </c:pt>
                <c:pt idx="13">
                  <c:v>-112722776948.00586</c:v>
                </c:pt>
                <c:pt idx="14">
                  <c:v>-178370592393.50195</c:v>
                </c:pt>
                <c:pt idx="15">
                  <c:v>981380775105.8623</c:v>
                </c:pt>
                <c:pt idx="16">
                  <c:v>834909756775.58386</c:v>
                </c:pt>
                <c:pt idx="17">
                  <c:v>688494091570.39893</c:v>
                </c:pt>
                <c:pt idx="18">
                  <c:v>499203476153.67004</c:v>
                </c:pt>
                <c:pt idx="19">
                  <c:v>329748437912.23657</c:v>
                </c:pt>
                <c:pt idx="20">
                  <c:v>-49813481732.384033</c:v>
                </c:pt>
                <c:pt idx="21">
                  <c:v>-218658260783.85791</c:v>
                </c:pt>
                <c:pt idx="22">
                  <c:v>-180460763263.62012</c:v>
                </c:pt>
                <c:pt idx="23">
                  <c:v>554290594732.15271</c:v>
                </c:pt>
                <c:pt idx="24">
                  <c:v>1454690639579.1523</c:v>
                </c:pt>
                <c:pt idx="25">
                  <c:v>45306022800.983765</c:v>
                </c:pt>
                <c:pt idx="26">
                  <c:v>-908886388.97570801</c:v>
                </c:pt>
                <c:pt idx="27">
                  <c:v>-140340298643.95105</c:v>
                </c:pt>
                <c:pt idx="28">
                  <c:v>207662268531.34448</c:v>
                </c:pt>
                <c:pt idx="29">
                  <c:v>738616170501.45508</c:v>
                </c:pt>
                <c:pt idx="30">
                  <c:v>437067007961.61511</c:v>
                </c:pt>
                <c:pt idx="31">
                  <c:v>-39185620261.488281</c:v>
                </c:pt>
                <c:pt idx="32">
                  <c:v>-128374142357.10376</c:v>
                </c:pt>
                <c:pt idx="33">
                  <c:v>-150933550598.53735</c:v>
                </c:pt>
                <c:pt idx="34">
                  <c:v>15585209649.666992</c:v>
                </c:pt>
                <c:pt idx="35">
                  <c:v>-111479784293.36011</c:v>
                </c:pt>
                <c:pt idx="36">
                  <c:v>35981977783.925415</c:v>
                </c:pt>
                <c:pt idx="37">
                  <c:v>16986293592.694092</c:v>
                </c:pt>
                <c:pt idx="38">
                  <c:v>-95314500616.867432</c:v>
                </c:pt>
                <c:pt idx="39">
                  <c:v>-41319542592.327637</c:v>
                </c:pt>
                <c:pt idx="40">
                  <c:v>-63590452623.638306</c:v>
                </c:pt>
                <c:pt idx="41">
                  <c:v>-158033820776.22705</c:v>
                </c:pt>
                <c:pt idx="42">
                  <c:v>-154145226388.97571</c:v>
                </c:pt>
                <c:pt idx="43">
                  <c:v>-290221165667.78027</c:v>
                </c:pt>
                <c:pt idx="44">
                  <c:v>-206086928513.35864</c:v>
                </c:pt>
                <c:pt idx="45">
                  <c:v>-33195288858.301025</c:v>
                </c:pt>
                <c:pt idx="46">
                  <c:v>-279878414896.94373</c:v>
                </c:pt>
                <c:pt idx="47">
                  <c:v>-187337206744.3551</c:v>
                </c:pt>
                <c:pt idx="48">
                  <c:v>179696127802.25562</c:v>
                </c:pt>
                <c:pt idx="49">
                  <c:v>-126382669778.05994</c:v>
                </c:pt>
                <c:pt idx="50">
                  <c:v>-320077761330.1698</c:v>
                </c:pt>
                <c:pt idx="51">
                  <c:v>-188788905944.75159</c:v>
                </c:pt>
                <c:pt idx="52">
                  <c:v>-242431515490.09045</c:v>
                </c:pt>
                <c:pt idx="53">
                  <c:v>-287750057347.93884</c:v>
                </c:pt>
                <c:pt idx="54">
                  <c:v>-226772802516.46338</c:v>
                </c:pt>
                <c:pt idx="55">
                  <c:v>-345372601993.8313</c:v>
                </c:pt>
                <c:pt idx="56">
                  <c:v>-268305700658.61511</c:v>
                </c:pt>
                <c:pt idx="57">
                  <c:v>-210991085333.27466</c:v>
                </c:pt>
                <c:pt idx="58">
                  <c:v>-355599468643.95105</c:v>
                </c:pt>
                <c:pt idx="59">
                  <c:v>-184718926017.80994</c:v>
                </c:pt>
                <c:pt idx="60">
                  <c:v>-235766158568.08667</c:v>
                </c:pt>
                <c:pt idx="61">
                  <c:v>-281006287381.79321</c:v>
                </c:pt>
                <c:pt idx="62">
                  <c:v>-18923496234.703613</c:v>
                </c:pt>
                <c:pt idx="63">
                  <c:v>-79055621669.762695</c:v>
                </c:pt>
                <c:pt idx="64">
                  <c:v>170047389743.86145</c:v>
                </c:pt>
                <c:pt idx="65">
                  <c:v>-125780239506.17603</c:v>
                </c:pt>
                <c:pt idx="66">
                  <c:v>-103955317886.09521</c:v>
                </c:pt>
                <c:pt idx="67">
                  <c:v>-345140371097.48975</c:v>
                </c:pt>
                <c:pt idx="68">
                  <c:v>-311892619636.76831</c:v>
                </c:pt>
                <c:pt idx="69">
                  <c:v>-331976314617.1665</c:v>
                </c:pt>
                <c:pt idx="70">
                  <c:v>-331047155270.39087</c:v>
                </c:pt>
                <c:pt idx="71">
                  <c:v>-301898687167.44312</c:v>
                </c:pt>
                <c:pt idx="72">
                  <c:v>-459732080577.40125</c:v>
                </c:pt>
                <c:pt idx="73">
                  <c:v>-433028517572.46338</c:v>
                </c:pt>
                <c:pt idx="74">
                  <c:v>-489002866812.06384</c:v>
                </c:pt>
                <c:pt idx="75">
                  <c:v>-478152354890.19116</c:v>
                </c:pt>
                <c:pt idx="76">
                  <c:v>-441271322424.81262</c:v>
                </c:pt>
                <c:pt idx="77">
                  <c:v>-262704426016.40698</c:v>
                </c:pt>
                <c:pt idx="78">
                  <c:v>-180957618965.21362</c:v>
                </c:pt>
                <c:pt idx="79">
                  <c:v>172969255798.29077</c:v>
                </c:pt>
                <c:pt idx="80">
                  <c:v>-157509985803.45996</c:v>
                </c:pt>
                <c:pt idx="81">
                  <c:v>105700017631.3186</c:v>
                </c:pt>
                <c:pt idx="82">
                  <c:v>-138688214922.90479</c:v>
                </c:pt>
                <c:pt idx="83">
                  <c:v>114859602508.48828</c:v>
                </c:pt>
                <c:pt idx="84">
                  <c:v>-270423566493.34473</c:v>
                </c:pt>
                <c:pt idx="85">
                  <c:v>134784960522.59106</c:v>
                </c:pt>
                <c:pt idx="86">
                  <c:v>-98289965555.255615</c:v>
                </c:pt>
                <c:pt idx="87">
                  <c:v>929588916882.75879</c:v>
                </c:pt>
                <c:pt idx="88">
                  <c:v>637589299156.06421</c:v>
                </c:pt>
                <c:pt idx="89">
                  <c:v>-218171042058.99634</c:v>
                </c:pt>
                <c:pt idx="90">
                  <c:v>-140109523739.15503</c:v>
                </c:pt>
                <c:pt idx="91">
                  <c:v>128058977748.93042</c:v>
                </c:pt>
                <c:pt idx="92">
                  <c:v>190686558889.52979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61-FA4D-AD0D-EFDCC2102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993919"/>
        <c:axId val="2033150463"/>
      </c:scatterChart>
      <c:valAx>
        <c:axId val="2032993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33150463"/>
        <c:crosses val="autoZero"/>
        <c:crossBetween val="midCat"/>
      </c:valAx>
      <c:valAx>
        <c:axId val="20331504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29939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ВТБ!$A$2:$A$94</c:f>
              <c:numCache>
                <c:formatCode>0.00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ВТБ!$B$2:$B$94</c:f>
              <c:numCache>
                <c:formatCode>#\ ##0.00\ "₽"</c:formatCode>
                <c:ptCount val="93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D-F649-926E-BE88E17581D2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ВТБ!$A$2:$A$94</c:f>
              <c:numCache>
                <c:formatCode>0.00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ВТБ!$J$71:$J$163</c:f>
              <c:numCache>
                <c:formatCode>General</c:formatCode>
                <c:ptCount val="93"/>
                <c:pt idx="0">
                  <c:v>588887807588.24988</c:v>
                </c:pt>
                <c:pt idx="1">
                  <c:v>565339199297.17554</c:v>
                </c:pt>
                <c:pt idx="2">
                  <c:v>564705604455.26318</c:v>
                </c:pt>
                <c:pt idx="3">
                  <c:v>629965873172.23157</c:v>
                </c:pt>
                <c:pt idx="4">
                  <c:v>634295437925.29907</c:v>
                </c:pt>
                <c:pt idx="5">
                  <c:v>669037555090.15771</c:v>
                </c:pt>
                <c:pt idx="6">
                  <c:v>658372041917.96704</c:v>
                </c:pt>
                <c:pt idx="7">
                  <c:v>662596007530.71582</c:v>
                </c:pt>
                <c:pt idx="8">
                  <c:v>684877426137.96558</c:v>
                </c:pt>
                <c:pt idx="9">
                  <c:v>704202068816.29102</c:v>
                </c:pt>
                <c:pt idx="10">
                  <c:v>686461413242.74634</c:v>
                </c:pt>
                <c:pt idx="11">
                  <c:v>666080779161.2334</c:v>
                </c:pt>
                <c:pt idx="12">
                  <c:v>630388269733.50635</c:v>
                </c:pt>
                <c:pt idx="13">
                  <c:v>674951106948.00586</c:v>
                </c:pt>
                <c:pt idx="14">
                  <c:v>709904422393.50195</c:v>
                </c:pt>
                <c:pt idx="15">
                  <c:v>736621004894.1377</c:v>
                </c:pt>
                <c:pt idx="16">
                  <c:v>746652923224.41614</c:v>
                </c:pt>
                <c:pt idx="17">
                  <c:v>648973718429.60107</c:v>
                </c:pt>
                <c:pt idx="18">
                  <c:v>720781133846.32996</c:v>
                </c:pt>
                <c:pt idx="19">
                  <c:v>734509022087.76343</c:v>
                </c:pt>
                <c:pt idx="20">
                  <c:v>749292901732.38403</c:v>
                </c:pt>
                <c:pt idx="21">
                  <c:v>753094470783.85791</c:v>
                </c:pt>
                <c:pt idx="22">
                  <c:v>733136233263.62012</c:v>
                </c:pt>
                <c:pt idx="23">
                  <c:v>661645615267.84729</c:v>
                </c:pt>
                <c:pt idx="24">
                  <c:v>447279360420.84766</c:v>
                </c:pt>
                <c:pt idx="25">
                  <c:v>426793127199.01624</c:v>
                </c:pt>
                <c:pt idx="26">
                  <c:v>436719446388.97571</c:v>
                </c:pt>
                <c:pt idx="27">
                  <c:v>521198758643.95105</c:v>
                </c:pt>
                <c:pt idx="28">
                  <c:v>463119231468.65552</c:v>
                </c:pt>
                <c:pt idx="29">
                  <c:v>307360499498.54492</c:v>
                </c:pt>
                <c:pt idx="30">
                  <c:v>320560392038.38489</c:v>
                </c:pt>
                <c:pt idx="31">
                  <c:v>394479790261.48828</c:v>
                </c:pt>
                <c:pt idx="32">
                  <c:v>426159532357.10376</c:v>
                </c:pt>
                <c:pt idx="33">
                  <c:v>439887420598.53735</c:v>
                </c:pt>
                <c:pt idx="34">
                  <c:v>390783820350.33301</c:v>
                </c:pt>
                <c:pt idx="35">
                  <c:v>405039704293.36011</c:v>
                </c:pt>
                <c:pt idx="36">
                  <c:v>313168452216.07458</c:v>
                </c:pt>
                <c:pt idx="37">
                  <c:v>376527936407.30591</c:v>
                </c:pt>
                <c:pt idx="38">
                  <c:v>379695910616.86743</c:v>
                </c:pt>
                <c:pt idx="39">
                  <c:v>345059392592.32764</c:v>
                </c:pt>
                <c:pt idx="40">
                  <c:v>415071622623.63831</c:v>
                </c:pt>
                <c:pt idx="41">
                  <c:v>432495480776.22705</c:v>
                </c:pt>
                <c:pt idx="42">
                  <c:v>436719446388.97571</c:v>
                </c:pt>
                <c:pt idx="43">
                  <c:v>442949795667.78027</c:v>
                </c:pt>
                <c:pt idx="44">
                  <c:v>431545088513.35864</c:v>
                </c:pt>
                <c:pt idx="45">
                  <c:v>393423798858.30103</c:v>
                </c:pt>
                <c:pt idx="46">
                  <c:v>439359424896.94373</c:v>
                </c:pt>
                <c:pt idx="47">
                  <c:v>421935566744.3551</c:v>
                </c:pt>
                <c:pt idx="48">
                  <c:v>373359962197.74438</c:v>
                </c:pt>
                <c:pt idx="49">
                  <c:v>426476329778.05994</c:v>
                </c:pt>
                <c:pt idx="50">
                  <c:v>456994481330.1698</c:v>
                </c:pt>
                <c:pt idx="51">
                  <c:v>455199295944.75159</c:v>
                </c:pt>
                <c:pt idx="52">
                  <c:v>450341735490.09045</c:v>
                </c:pt>
                <c:pt idx="53">
                  <c:v>456255287347.93884</c:v>
                </c:pt>
                <c:pt idx="54">
                  <c:v>478959102516.46338</c:v>
                </c:pt>
                <c:pt idx="55">
                  <c:v>524472331993.8313</c:v>
                </c:pt>
                <c:pt idx="56">
                  <c:v>473045550658.61511</c:v>
                </c:pt>
                <c:pt idx="57">
                  <c:v>504408495333.27466</c:v>
                </c:pt>
                <c:pt idx="58">
                  <c:v>521198758643.95105</c:v>
                </c:pt>
                <c:pt idx="59">
                  <c:v>618561166017.80994</c:v>
                </c:pt>
                <c:pt idx="60">
                  <c:v>655098468568.08667</c:v>
                </c:pt>
                <c:pt idx="61">
                  <c:v>633133847381.79321</c:v>
                </c:pt>
                <c:pt idx="62">
                  <c:v>597652536234.70361</c:v>
                </c:pt>
                <c:pt idx="63">
                  <c:v>609268441669.7627</c:v>
                </c:pt>
                <c:pt idx="64">
                  <c:v>584875040256.13855</c:v>
                </c:pt>
                <c:pt idx="65">
                  <c:v>627959489506.17603</c:v>
                </c:pt>
                <c:pt idx="66">
                  <c:v>647812127886.09521</c:v>
                </c:pt>
                <c:pt idx="67">
                  <c:v>644960951097.48975</c:v>
                </c:pt>
                <c:pt idx="68">
                  <c:v>717613159636.76831</c:v>
                </c:pt>
                <c:pt idx="69">
                  <c:v>724371504617.1665</c:v>
                </c:pt>
                <c:pt idx="70">
                  <c:v>768511945270.39087</c:v>
                </c:pt>
                <c:pt idx="71">
                  <c:v>760908807167.44312</c:v>
                </c:pt>
                <c:pt idx="72">
                  <c:v>797340510577.40125</c:v>
                </c:pt>
                <c:pt idx="73">
                  <c:v>755945647572.46338</c:v>
                </c:pt>
                <c:pt idx="74">
                  <c:v>775692686812.06384</c:v>
                </c:pt>
                <c:pt idx="75">
                  <c:v>778385464890.19116</c:v>
                </c:pt>
                <c:pt idx="76">
                  <c:v>779916652424.81262</c:v>
                </c:pt>
                <c:pt idx="77">
                  <c:v>767191956016.40698</c:v>
                </c:pt>
                <c:pt idx="78">
                  <c:v>733664228965.21362</c:v>
                </c:pt>
                <c:pt idx="79">
                  <c:v>705997254201.70923</c:v>
                </c:pt>
                <c:pt idx="80">
                  <c:v>746336125803.45996</c:v>
                </c:pt>
                <c:pt idx="81">
                  <c:v>704994062368.6814</c:v>
                </c:pt>
                <c:pt idx="82">
                  <c:v>699766904922.90479</c:v>
                </c:pt>
                <c:pt idx="83">
                  <c:v>676112697491.51172</c:v>
                </c:pt>
                <c:pt idx="84">
                  <c:v>670093546493.34473</c:v>
                </c:pt>
                <c:pt idx="85">
                  <c:v>664813589477.40894</c:v>
                </c:pt>
                <c:pt idx="86">
                  <c:v>697232525555.25562</c:v>
                </c:pt>
                <c:pt idx="87">
                  <c:v>810540403117.24121</c:v>
                </c:pt>
                <c:pt idx="88">
                  <c:v>786252600843.93579</c:v>
                </c:pt>
                <c:pt idx="89">
                  <c:v>771363122058.99634</c:v>
                </c:pt>
                <c:pt idx="90">
                  <c:v>784668613739.15503</c:v>
                </c:pt>
                <c:pt idx="91">
                  <c:v>745544132251.06958</c:v>
                </c:pt>
                <c:pt idx="92">
                  <c:v>775164691110.47021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1D-F649-926E-BE88E1758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559663"/>
        <c:axId val="2012561311"/>
      </c:scatterChart>
      <c:valAx>
        <c:axId val="2012559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12561311"/>
        <c:crosses val="autoZero"/>
        <c:crossBetween val="midCat"/>
      </c:valAx>
      <c:valAx>
        <c:axId val="20125613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\ ##0.00\ &quot;₽&quot;" sourceLinked="1"/>
        <c:majorTickMark val="out"/>
        <c:minorTickMark val="none"/>
        <c:tickLblPos val="nextTo"/>
        <c:crossAx val="20125596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ВТБ!$N$71:$N$163</c:f>
              <c:numCache>
                <c:formatCode>General</c:formatCode>
                <c:ptCount val="93"/>
                <c:pt idx="0">
                  <c:v>0.5376344086021505</c:v>
                </c:pt>
                <c:pt idx="1">
                  <c:v>1.6129032258064515</c:v>
                </c:pt>
                <c:pt idx="2">
                  <c:v>2.6881720430107525</c:v>
                </c:pt>
                <c:pt idx="3">
                  <c:v>3.7634408602150535</c:v>
                </c:pt>
                <c:pt idx="4">
                  <c:v>4.8387096774193541</c:v>
                </c:pt>
                <c:pt idx="5">
                  <c:v>5.913978494623656</c:v>
                </c:pt>
                <c:pt idx="6">
                  <c:v>6.9892473118279561</c:v>
                </c:pt>
                <c:pt idx="7">
                  <c:v>8.064516129032258</c:v>
                </c:pt>
                <c:pt idx="8">
                  <c:v>9.1397849462365581</c:v>
                </c:pt>
                <c:pt idx="9">
                  <c:v>10.215053763440858</c:v>
                </c:pt>
                <c:pt idx="10">
                  <c:v>11.29032258064516</c:v>
                </c:pt>
                <c:pt idx="11">
                  <c:v>12.365591397849462</c:v>
                </c:pt>
                <c:pt idx="12">
                  <c:v>13.440860215053762</c:v>
                </c:pt>
                <c:pt idx="13">
                  <c:v>14.516129032258062</c:v>
                </c:pt>
                <c:pt idx="14">
                  <c:v>15.591397849462364</c:v>
                </c:pt>
                <c:pt idx="15">
                  <c:v>16.666666666666668</c:v>
                </c:pt>
                <c:pt idx="16">
                  <c:v>17.741935483870968</c:v>
                </c:pt>
                <c:pt idx="17">
                  <c:v>18.817204301075268</c:v>
                </c:pt>
                <c:pt idx="18">
                  <c:v>19.892473118279568</c:v>
                </c:pt>
                <c:pt idx="19">
                  <c:v>20.967741935483872</c:v>
                </c:pt>
                <c:pt idx="20">
                  <c:v>22.043010752688172</c:v>
                </c:pt>
                <c:pt idx="21">
                  <c:v>23.118279569892472</c:v>
                </c:pt>
                <c:pt idx="22">
                  <c:v>24.193548387096776</c:v>
                </c:pt>
                <c:pt idx="23">
                  <c:v>25.268817204301076</c:v>
                </c:pt>
                <c:pt idx="24">
                  <c:v>26.344086021505376</c:v>
                </c:pt>
                <c:pt idx="25">
                  <c:v>27.419354838709676</c:v>
                </c:pt>
                <c:pt idx="26">
                  <c:v>28.494623655913976</c:v>
                </c:pt>
                <c:pt idx="27">
                  <c:v>29.56989247311828</c:v>
                </c:pt>
                <c:pt idx="28">
                  <c:v>30.64516129032258</c:v>
                </c:pt>
                <c:pt idx="29">
                  <c:v>31.72043010752688</c:v>
                </c:pt>
                <c:pt idx="30">
                  <c:v>32.795698924731184</c:v>
                </c:pt>
                <c:pt idx="31">
                  <c:v>33.87096774193548</c:v>
                </c:pt>
                <c:pt idx="32">
                  <c:v>34.946236559139784</c:v>
                </c:pt>
                <c:pt idx="33">
                  <c:v>36.021505376344088</c:v>
                </c:pt>
                <c:pt idx="34">
                  <c:v>37.096774193548384</c:v>
                </c:pt>
                <c:pt idx="35">
                  <c:v>38.172043010752688</c:v>
                </c:pt>
                <c:pt idx="36">
                  <c:v>39.247311827956985</c:v>
                </c:pt>
                <c:pt idx="37">
                  <c:v>40.322580645161288</c:v>
                </c:pt>
                <c:pt idx="38">
                  <c:v>41.397849462365592</c:v>
                </c:pt>
                <c:pt idx="39">
                  <c:v>42.473118279569889</c:v>
                </c:pt>
                <c:pt idx="40">
                  <c:v>43.548387096774192</c:v>
                </c:pt>
                <c:pt idx="41">
                  <c:v>44.623655913978496</c:v>
                </c:pt>
                <c:pt idx="42">
                  <c:v>45.698924731182792</c:v>
                </c:pt>
                <c:pt idx="43">
                  <c:v>46.774193548387096</c:v>
                </c:pt>
                <c:pt idx="44">
                  <c:v>47.8494623655914</c:v>
                </c:pt>
                <c:pt idx="45">
                  <c:v>48.924731182795696</c:v>
                </c:pt>
                <c:pt idx="46">
                  <c:v>50</c:v>
                </c:pt>
                <c:pt idx="47">
                  <c:v>51.075268817204297</c:v>
                </c:pt>
                <c:pt idx="48">
                  <c:v>52.1505376344086</c:v>
                </c:pt>
                <c:pt idx="49">
                  <c:v>53.225806451612904</c:v>
                </c:pt>
                <c:pt idx="50">
                  <c:v>54.3010752688172</c:v>
                </c:pt>
                <c:pt idx="51">
                  <c:v>55.376344086021504</c:v>
                </c:pt>
                <c:pt idx="52">
                  <c:v>56.451612903225801</c:v>
                </c:pt>
                <c:pt idx="53">
                  <c:v>57.526881720430104</c:v>
                </c:pt>
                <c:pt idx="54">
                  <c:v>58.602150537634408</c:v>
                </c:pt>
                <c:pt idx="55">
                  <c:v>59.677419354838705</c:v>
                </c:pt>
                <c:pt idx="56">
                  <c:v>60.752688172043008</c:v>
                </c:pt>
                <c:pt idx="57">
                  <c:v>61.827956989247312</c:v>
                </c:pt>
                <c:pt idx="58">
                  <c:v>62.903225806451609</c:v>
                </c:pt>
                <c:pt idx="59">
                  <c:v>63.978494623655912</c:v>
                </c:pt>
                <c:pt idx="60">
                  <c:v>65.053763440860209</c:v>
                </c:pt>
                <c:pt idx="61">
                  <c:v>66.129032258064512</c:v>
                </c:pt>
                <c:pt idx="62">
                  <c:v>67.204301075268802</c:v>
                </c:pt>
                <c:pt idx="63">
                  <c:v>68.279569892473106</c:v>
                </c:pt>
                <c:pt idx="64">
                  <c:v>69.354838709677409</c:v>
                </c:pt>
                <c:pt idx="65">
                  <c:v>70.430107526881713</c:v>
                </c:pt>
                <c:pt idx="66">
                  <c:v>71.505376344086017</c:v>
                </c:pt>
                <c:pt idx="67">
                  <c:v>72.580645161290306</c:v>
                </c:pt>
                <c:pt idx="68">
                  <c:v>73.65591397849461</c:v>
                </c:pt>
                <c:pt idx="69">
                  <c:v>74.731182795698913</c:v>
                </c:pt>
                <c:pt idx="70">
                  <c:v>75.806451612903217</c:v>
                </c:pt>
                <c:pt idx="71">
                  <c:v>76.881720430107521</c:v>
                </c:pt>
                <c:pt idx="72">
                  <c:v>77.95698924731181</c:v>
                </c:pt>
                <c:pt idx="73">
                  <c:v>79.032258064516114</c:v>
                </c:pt>
                <c:pt idx="74">
                  <c:v>80.107526881720418</c:v>
                </c:pt>
                <c:pt idx="75">
                  <c:v>81.182795698924721</c:v>
                </c:pt>
                <c:pt idx="76">
                  <c:v>82.258064516129025</c:v>
                </c:pt>
                <c:pt idx="77">
                  <c:v>83.333333333333329</c:v>
                </c:pt>
                <c:pt idx="78">
                  <c:v>84.408602150537618</c:v>
                </c:pt>
                <c:pt idx="79">
                  <c:v>85.483870967741922</c:v>
                </c:pt>
                <c:pt idx="80">
                  <c:v>86.559139784946225</c:v>
                </c:pt>
                <c:pt idx="81">
                  <c:v>87.634408602150529</c:v>
                </c:pt>
                <c:pt idx="82">
                  <c:v>88.709677419354833</c:v>
                </c:pt>
                <c:pt idx="83">
                  <c:v>89.784946236559122</c:v>
                </c:pt>
                <c:pt idx="84">
                  <c:v>90.860215053763426</c:v>
                </c:pt>
                <c:pt idx="85">
                  <c:v>91.93548387096773</c:v>
                </c:pt>
                <c:pt idx="86">
                  <c:v>93.010752688172033</c:v>
                </c:pt>
                <c:pt idx="87">
                  <c:v>94.086021505376337</c:v>
                </c:pt>
                <c:pt idx="88">
                  <c:v>95.161290322580641</c:v>
                </c:pt>
                <c:pt idx="89">
                  <c:v>96.23655913978493</c:v>
                </c:pt>
                <c:pt idx="90">
                  <c:v>97.311827956989234</c:v>
                </c:pt>
                <c:pt idx="91">
                  <c:v>98.387096774193537</c:v>
                </c:pt>
                <c:pt idx="92">
                  <c:v>99.462365591397841</c:v>
                </c:pt>
              </c:numCache>
            </c:numRef>
          </c:xVal>
          <c:yVal>
            <c:numRef>
              <c:f>ВТБ!$O$71:$O$163</c:f>
              <c:numCache>
                <c:formatCode>General</c:formatCode>
                <c:ptCount val="93"/>
                <c:pt idx="0">
                  <c:v>136916720000</c:v>
                </c:pt>
                <c:pt idx="1">
                  <c:v>152728630000</c:v>
                </c:pt>
                <c:pt idx="2">
                  <c:v>159481010000</c:v>
                </c:pt>
                <c:pt idx="3">
                  <c:v>165599290000</c:v>
                </c:pt>
                <c:pt idx="4">
                  <c:v>168505230000</c:v>
                </c:pt>
                <c:pt idx="5">
                  <c:v>179099730000</c:v>
                </c:pt>
                <c:pt idx="6">
                  <c:v>204739850000</c:v>
                </c:pt>
                <c:pt idx="7">
                  <c:v>207910220000</c:v>
                </c:pt>
                <c:pt idx="8">
                  <c:v>225458160000</c:v>
                </c:pt>
                <c:pt idx="9">
                  <c:v>234598360000</c:v>
                </c:pt>
                <c:pt idx="10">
                  <c:v>252186300000</c:v>
                </c:pt>
                <c:pt idx="11">
                  <c:v>266410390000</c:v>
                </c:pt>
                <c:pt idx="12">
                  <c:v>274461660000</c:v>
                </c:pt>
                <c:pt idx="13">
                  <c:v>282574220000</c:v>
                </c:pt>
                <c:pt idx="14">
                  <c:v>284381410000</c:v>
                </c:pt>
                <c:pt idx="15">
                  <c:v>286689820000</c:v>
                </c:pt>
                <c:pt idx="16">
                  <c:v>288953870000</c:v>
                </c:pt>
                <c:pt idx="17">
                  <c:v>293417410000</c:v>
                </c:pt>
                <c:pt idx="18">
                  <c:v>293559920000</c:v>
                </c:pt>
                <c:pt idx="19">
                  <c:v>297785390000</c:v>
                </c:pt>
                <c:pt idx="20">
                  <c:v>299820580000</c:v>
                </c:pt>
                <c:pt idx="21">
                  <c:v>300093660000</c:v>
                </c:pt>
                <c:pt idx="22">
                  <c:v>300233110000</c:v>
                </c:pt>
                <c:pt idx="23">
                  <c:v>303739850000</c:v>
                </c:pt>
                <c:pt idx="24">
                  <c:v>322917130000</c:v>
                </c:pt>
                <c:pt idx="25">
                  <c:v>337608430000</c:v>
                </c:pt>
                <c:pt idx="26">
                  <c:v>338645330000</c:v>
                </c:pt>
                <c:pt idx="27">
                  <c:v>349150430000</c:v>
                </c:pt>
                <c:pt idx="28">
                  <c:v>351481170000</c:v>
                </c:pt>
                <c:pt idx="29">
                  <c:v>352127560000</c:v>
                </c:pt>
                <c:pt idx="30">
                  <c:v>355294170000</c:v>
                </c:pt>
                <c:pt idx="31">
                  <c:v>360228510000</c:v>
                </c:pt>
                <c:pt idx="32">
                  <c:v>380858460000</c:v>
                </c:pt>
                <c:pt idx="33">
                  <c:v>392395190000</c:v>
                </c:pt>
                <c:pt idx="34">
                  <c:v>393514230000</c:v>
                </c:pt>
                <c:pt idx="35">
                  <c:v>399669980000</c:v>
                </c:pt>
                <c:pt idx="36">
                  <c:v>405720540000</c:v>
                </c:pt>
                <c:pt idx="37">
                  <c:v>406369030000</c:v>
                </c:pt>
                <c:pt idx="38">
                  <c:v>419332310000</c:v>
                </c:pt>
                <c:pt idx="39">
                  <c:v>423765060000</c:v>
                </c:pt>
                <c:pt idx="40">
                  <c:v>424102620000</c:v>
                </c:pt>
                <c:pt idx="41">
                  <c:v>433842240000</c:v>
                </c:pt>
                <c:pt idx="42">
                  <c:v>435810560000</c:v>
                </c:pt>
                <c:pt idx="43">
                  <c:v>437464790000</c:v>
                </c:pt>
                <c:pt idx="44">
                  <c:v>459010120000</c:v>
                </c:pt>
                <c:pt idx="45">
                  <c:v>472099150000</c:v>
                </c:pt>
                <c:pt idx="46">
                  <c:v>502179250000</c:v>
                </c:pt>
                <c:pt idx="47">
                  <c:v>504487530000</c:v>
                </c:pt>
                <c:pt idx="48">
                  <c:v>530212820000</c:v>
                </c:pt>
                <c:pt idx="49">
                  <c:v>531533830000</c:v>
                </c:pt>
                <c:pt idx="50">
                  <c:v>534436210000</c:v>
                </c:pt>
                <c:pt idx="51">
                  <c:v>543856810000</c:v>
                </c:pt>
                <c:pt idx="52">
                  <c:v>552675470000</c:v>
                </c:pt>
                <c:pt idx="53">
                  <c:v>552706610000</c:v>
                </c:pt>
                <c:pt idx="54">
                  <c:v>553056090000</c:v>
                </c:pt>
                <c:pt idx="55">
                  <c:v>553192080000</c:v>
                </c:pt>
                <c:pt idx="56">
                  <c:v>561078690000</c:v>
                </c:pt>
                <c:pt idx="57">
                  <c:v>562228330000</c:v>
                </c:pt>
                <c:pt idx="58">
                  <c:v>578729040000</c:v>
                </c:pt>
                <c:pt idx="59">
                  <c:v>588826140000</c:v>
                </c:pt>
                <c:pt idx="60">
                  <c:v>598942560000</c:v>
                </c:pt>
                <c:pt idx="61">
                  <c:v>620659410000</c:v>
                </c:pt>
                <c:pt idx="62">
                  <c:v>644559090000</c:v>
                </c:pt>
                <c:pt idx="63">
                  <c:v>670781500000</c:v>
                </c:pt>
                <c:pt idx="64">
                  <c:v>684089840000</c:v>
                </c:pt>
                <c:pt idx="65">
                  <c:v>689989310000</c:v>
                </c:pt>
                <c:pt idx="66">
                  <c:v>699479420000</c:v>
                </c:pt>
                <c:pt idx="67">
                  <c:v>754922430000</c:v>
                </c:pt>
                <c:pt idx="68">
                  <c:v>757627400000</c:v>
                </c:pt>
                <c:pt idx="69">
                  <c:v>770174060000</c:v>
                </c:pt>
                <c:pt idx="70">
                  <c:v>773944750000</c:v>
                </c:pt>
                <c:pt idx="71">
                  <c:v>790972300000</c:v>
                </c:pt>
                <c:pt idx="72">
                  <c:v>799598550000</c:v>
                </c:pt>
                <c:pt idx="73">
                  <c:v>810694080000</c:v>
                </c:pt>
                <c:pt idx="74">
                  <c:v>873603110000</c:v>
                </c:pt>
                <c:pt idx="75">
                  <c:v>878966510000</c:v>
                </c:pt>
                <c:pt idx="76">
                  <c:v>883378010000</c:v>
                </c:pt>
                <c:pt idx="77">
                  <c:v>909928850000</c:v>
                </c:pt>
                <c:pt idx="78">
                  <c:v>956736250000</c:v>
                </c:pt>
                <c:pt idx="79">
                  <c:v>965851250000</c:v>
                </c:pt>
                <c:pt idx="80">
                  <c:v>1045976670000</c:v>
                </c:pt>
                <c:pt idx="81">
                  <c:v>1064257460000</c:v>
                </c:pt>
                <c:pt idx="82">
                  <c:v>1095103330000</c:v>
                </c:pt>
                <c:pt idx="83">
                  <c:v>1117892430000</c:v>
                </c:pt>
                <c:pt idx="84">
                  <c:v>1203587690000</c:v>
                </c:pt>
                <c:pt idx="85">
                  <c:v>1215936210000</c:v>
                </c:pt>
                <c:pt idx="86">
                  <c:v>1219984610000</c:v>
                </c:pt>
                <c:pt idx="87">
                  <c:v>1337467810000</c:v>
                </c:pt>
                <c:pt idx="88">
                  <c:v>1423841900000</c:v>
                </c:pt>
                <c:pt idx="89">
                  <c:v>1581562680000</c:v>
                </c:pt>
                <c:pt idx="90">
                  <c:v>1718001780000</c:v>
                </c:pt>
                <c:pt idx="91">
                  <c:v>1740129320000</c:v>
                </c:pt>
                <c:pt idx="92">
                  <c:v>1901970000000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99-A24C-B7D5-CCCF04A49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638751"/>
        <c:axId val="2011640399"/>
      </c:scatterChart>
      <c:valAx>
        <c:axId val="2011638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1640399"/>
        <c:crosses val="autoZero"/>
        <c:crossBetween val="midCat"/>
      </c:valAx>
      <c:valAx>
        <c:axId val="2011640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16387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362717969307193E-2"/>
          <c:y val="1.5292525353678366E-2"/>
          <c:w val="0.79913339050440479"/>
          <c:h val="0.84105783782598209"/>
        </c:manualLayout>
      </c:layout>
      <c:scatterChart>
        <c:scatterStyle val="lineMarker"/>
        <c:varyColors val="0"/>
        <c:ser>
          <c:idx val="0"/>
          <c:order val="0"/>
          <c:tx>
            <c:strRef>
              <c:f>ВТБ!$B$1</c:f>
              <c:strCache>
                <c:ptCount val="1"/>
                <c:pt idx="0">
                  <c:v>Втб ао объем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ВТБ!$A$2:$A$94</c:f>
              <c:numCache>
                <c:formatCode>0.00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ВТБ!$B$2:$B$94</c:f>
              <c:numCache>
                <c:formatCode>#\ ##0.00\ "₽"</c:formatCode>
                <c:ptCount val="93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B-BE4E-9682-20B5281556CB}"/>
            </c:ext>
          </c:extLst>
        </c:ser>
        <c:ser>
          <c:idx val="1"/>
          <c:order val="1"/>
          <c:tx>
            <c:v>Тренд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ВТБ!$A$2:$A$94</c:f>
              <c:numCache>
                <c:formatCode>0.00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ВТБ!$C$2:$C$94</c:f>
              <c:numCache>
                <c:formatCode>#\ ##0.00\ "₽"</c:formatCode>
                <c:ptCount val="93"/>
                <c:pt idx="0">
                  <c:v>588887807588.22961</c:v>
                </c:pt>
                <c:pt idx="1">
                  <c:v>565339199297.15442</c:v>
                </c:pt>
                <c:pt idx="2">
                  <c:v>564705604455.24207</c:v>
                </c:pt>
                <c:pt idx="3">
                  <c:v>629965873172.21277</c:v>
                </c:pt>
                <c:pt idx="4">
                  <c:v>634295437925.2804</c:v>
                </c:pt>
                <c:pt idx="5">
                  <c:v>669037555090.14014</c:v>
                </c:pt>
                <c:pt idx="6">
                  <c:v>658372041917.94922</c:v>
                </c:pt>
                <c:pt idx="7">
                  <c:v>662596007530.69812</c:v>
                </c:pt>
                <c:pt idx="8">
                  <c:v>684877426137.94873</c:v>
                </c:pt>
                <c:pt idx="9">
                  <c:v>704202068816.2749</c:v>
                </c:pt>
                <c:pt idx="10">
                  <c:v>686461413242.72949</c:v>
                </c:pt>
                <c:pt idx="11">
                  <c:v>666080779161.21594</c:v>
                </c:pt>
                <c:pt idx="12">
                  <c:v>630388269733.48755</c:v>
                </c:pt>
                <c:pt idx="13">
                  <c:v>674951106947.98865</c:v>
                </c:pt>
                <c:pt idx="14">
                  <c:v>709904422393.48584</c:v>
                </c:pt>
                <c:pt idx="15">
                  <c:v>736621004894.1228</c:v>
                </c:pt>
                <c:pt idx="16">
                  <c:v>746652923224.40149</c:v>
                </c:pt>
                <c:pt idx="17">
                  <c:v>648973718429.58289</c:v>
                </c:pt>
                <c:pt idx="18">
                  <c:v>720781133846.31445</c:v>
                </c:pt>
                <c:pt idx="19">
                  <c:v>734509022087.74829</c:v>
                </c:pt>
                <c:pt idx="20">
                  <c:v>749292901732.36963</c:v>
                </c:pt>
                <c:pt idx="21">
                  <c:v>753094470783.84351</c:v>
                </c:pt>
                <c:pt idx="22">
                  <c:v>733136233263.60498</c:v>
                </c:pt>
                <c:pt idx="23">
                  <c:v>661645615267.82959</c:v>
                </c:pt>
                <c:pt idx="24">
                  <c:v>447279360420.82227</c:v>
                </c:pt>
                <c:pt idx="25">
                  <c:v>426793127198.99011</c:v>
                </c:pt>
                <c:pt idx="26">
                  <c:v>436719446388.94995</c:v>
                </c:pt>
                <c:pt idx="27">
                  <c:v>521198758643.92834</c:v>
                </c:pt>
                <c:pt idx="28">
                  <c:v>463119231468.63074</c:v>
                </c:pt>
                <c:pt idx="29">
                  <c:v>307360499498.51453</c:v>
                </c:pt>
                <c:pt idx="30">
                  <c:v>320560392038.35486</c:v>
                </c:pt>
                <c:pt idx="31">
                  <c:v>394479790261.46094</c:v>
                </c:pt>
                <c:pt idx="32">
                  <c:v>426159532357.07764</c:v>
                </c:pt>
                <c:pt idx="33">
                  <c:v>439887420598.51172</c:v>
                </c:pt>
                <c:pt idx="34">
                  <c:v>390783820350.30566</c:v>
                </c:pt>
                <c:pt idx="35">
                  <c:v>405039704293.33325</c:v>
                </c:pt>
                <c:pt idx="36">
                  <c:v>313168452216.04443</c:v>
                </c:pt>
                <c:pt idx="37">
                  <c:v>376527936407.27795</c:v>
                </c:pt>
                <c:pt idx="38">
                  <c:v>379695910616.8396</c:v>
                </c:pt>
                <c:pt idx="39">
                  <c:v>345059392592.29858</c:v>
                </c:pt>
                <c:pt idx="40">
                  <c:v>415071622623.61182</c:v>
                </c:pt>
                <c:pt idx="41">
                  <c:v>432495480776.20105</c:v>
                </c:pt>
                <c:pt idx="42">
                  <c:v>436719446388.94995</c:v>
                </c:pt>
                <c:pt idx="43">
                  <c:v>442949795667.75464</c:v>
                </c:pt>
                <c:pt idx="44">
                  <c:v>431545088513.33264</c:v>
                </c:pt>
                <c:pt idx="45">
                  <c:v>393423798858.27368</c:v>
                </c:pt>
                <c:pt idx="46">
                  <c:v>439359424896.91809</c:v>
                </c:pt>
                <c:pt idx="47">
                  <c:v>421935566744.32874</c:v>
                </c:pt>
                <c:pt idx="48">
                  <c:v>373359962197.71631</c:v>
                </c:pt>
                <c:pt idx="49">
                  <c:v>426476329778.03381</c:v>
                </c:pt>
                <c:pt idx="50">
                  <c:v>456994481330.14478</c:v>
                </c:pt>
                <c:pt idx="51">
                  <c:v>455199295944.72644</c:v>
                </c:pt>
                <c:pt idx="52">
                  <c:v>450341735490.06519</c:v>
                </c:pt>
                <c:pt idx="53">
                  <c:v>456255287347.9137</c:v>
                </c:pt>
                <c:pt idx="54">
                  <c:v>478959102516.43909</c:v>
                </c:pt>
                <c:pt idx="55">
                  <c:v>524472331993.80872</c:v>
                </c:pt>
                <c:pt idx="56">
                  <c:v>473045550658.59058</c:v>
                </c:pt>
                <c:pt idx="57">
                  <c:v>504408495333.25134</c:v>
                </c:pt>
                <c:pt idx="58">
                  <c:v>521198758643.92834</c:v>
                </c:pt>
                <c:pt idx="59">
                  <c:v>618561166017.79077</c:v>
                </c:pt>
                <c:pt idx="60">
                  <c:v>655098468568.06885</c:v>
                </c:pt>
                <c:pt idx="61">
                  <c:v>633133847381.77441</c:v>
                </c:pt>
                <c:pt idx="62">
                  <c:v>597652536234.68359</c:v>
                </c:pt>
                <c:pt idx="63">
                  <c:v>609268441669.74316</c:v>
                </c:pt>
                <c:pt idx="64">
                  <c:v>584875040256.11816</c:v>
                </c:pt>
                <c:pt idx="65">
                  <c:v>627959489506.15698</c:v>
                </c:pt>
                <c:pt idx="66">
                  <c:v>647812127886.0769</c:v>
                </c:pt>
                <c:pt idx="67">
                  <c:v>644960951097.47144</c:v>
                </c:pt>
                <c:pt idx="68">
                  <c:v>717613159636.75269</c:v>
                </c:pt>
                <c:pt idx="69">
                  <c:v>724371504617.151</c:v>
                </c:pt>
                <c:pt idx="70">
                  <c:v>768511945270.37708</c:v>
                </c:pt>
                <c:pt idx="71">
                  <c:v>760908807167.42908</c:v>
                </c:pt>
                <c:pt idx="72">
                  <c:v>797340510577.38843</c:v>
                </c:pt>
                <c:pt idx="73">
                  <c:v>755945647572.4491</c:v>
                </c:pt>
                <c:pt idx="74">
                  <c:v>775692686812.05029</c:v>
                </c:pt>
                <c:pt idx="75">
                  <c:v>778385464890.17761</c:v>
                </c:pt>
                <c:pt idx="76">
                  <c:v>779916652424.79919</c:v>
                </c:pt>
                <c:pt idx="77">
                  <c:v>767191956016.39307</c:v>
                </c:pt>
                <c:pt idx="78">
                  <c:v>733664228965.19849</c:v>
                </c:pt>
                <c:pt idx="79">
                  <c:v>705997254201.69312</c:v>
                </c:pt>
                <c:pt idx="80">
                  <c:v>746336125803.44531</c:v>
                </c:pt>
                <c:pt idx="81">
                  <c:v>704994062368.66528</c:v>
                </c:pt>
                <c:pt idx="82">
                  <c:v>699766904922.88843</c:v>
                </c:pt>
                <c:pt idx="83">
                  <c:v>676112697491.49463</c:v>
                </c:pt>
                <c:pt idx="84">
                  <c:v>670093546493.32739</c:v>
                </c:pt>
                <c:pt idx="85">
                  <c:v>664813589477.39136</c:v>
                </c:pt>
                <c:pt idx="86">
                  <c:v>697232525555.23926</c:v>
                </c:pt>
                <c:pt idx="87">
                  <c:v>810540403117.22876</c:v>
                </c:pt>
                <c:pt idx="88">
                  <c:v>786252600843.92261</c:v>
                </c:pt>
                <c:pt idx="89">
                  <c:v>771363122058.98267</c:v>
                </c:pt>
                <c:pt idx="90">
                  <c:v>784668613739.14172</c:v>
                </c:pt>
                <c:pt idx="91">
                  <c:v>745544132251.05493</c:v>
                </c:pt>
                <c:pt idx="92">
                  <c:v>775164691110.45654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1B-BE4E-9682-20B528155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440672"/>
        <c:axId val="904416688"/>
      </c:scatterChart>
      <c:valAx>
        <c:axId val="90444067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416688"/>
        <c:crosses val="autoZero"/>
        <c:crossBetween val="midCat"/>
      </c:valAx>
      <c:valAx>
        <c:axId val="9044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₽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4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9</xdr:row>
      <xdr:rowOff>152400</xdr:rowOff>
    </xdr:from>
    <xdr:to>
      <xdr:col>14</xdr:col>
      <xdr:colOff>101600</xdr:colOff>
      <xdr:row>32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D36EF47-BE83-4D4A-9E7D-CF8318918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444500</xdr:colOff>
      <xdr:row>9</xdr:row>
      <xdr:rowOff>174626</xdr:rowOff>
    </xdr:from>
    <xdr:to>
      <xdr:col>20</xdr:col>
      <xdr:colOff>669925</xdr:colOff>
      <xdr:row>28</xdr:row>
      <xdr:rowOff>107951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C508475-909D-D24F-B7CF-2A70FC0E6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3174</xdr:colOff>
      <xdr:row>9</xdr:row>
      <xdr:rowOff>171450</xdr:rowOff>
    </xdr:from>
    <xdr:to>
      <xdr:col>27</xdr:col>
      <xdr:colOff>126999</xdr:colOff>
      <xdr:row>28</xdr:row>
      <xdr:rowOff>142875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748FA47-DAFE-FB42-80F6-EC3E24249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476250</xdr:colOff>
      <xdr:row>29</xdr:row>
      <xdr:rowOff>95250</xdr:rowOff>
    </xdr:from>
    <xdr:to>
      <xdr:col>21</xdr:col>
      <xdr:colOff>114300</xdr:colOff>
      <xdr:row>47</xdr:row>
      <xdr:rowOff>187325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3158792-D0CA-854E-B157-34D12262B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787400</xdr:colOff>
      <xdr:row>23</xdr:row>
      <xdr:rowOff>63500</xdr:rowOff>
    </xdr:from>
    <xdr:to>
      <xdr:col>22</xdr:col>
      <xdr:colOff>787400</xdr:colOff>
      <xdr:row>33</xdr:row>
      <xdr:rowOff>88900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333CA4A-0585-AD4F-AB0B-296307C71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802341</xdr:colOff>
      <xdr:row>35</xdr:row>
      <xdr:rowOff>121025</xdr:rowOff>
    </xdr:from>
    <xdr:to>
      <xdr:col>22</xdr:col>
      <xdr:colOff>802342</xdr:colOff>
      <xdr:row>45</xdr:row>
      <xdr:rowOff>133725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9F8C1B9-5781-9248-84CC-5D8FC41DA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324223</xdr:colOff>
      <xdr:row>11</xdr:row>
      <xdr:rowOff>195730</xdr:rowOff>
    </xdr:from>
    <xdr:to>
      <xdr:col>23</xdr:col>
      <xdr:colOff>324223</xdr:colOff>
      <xdr:row>22</xdr:row>
      <xdr:rowOff>11953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D65CAAC-8944-E24A-BB2E-B0C36E363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37887</xdr:colOff>
      <xdr:row>12</xdr:row>
      <xdr:rowOff>0</xdr:rowOff>
    </xdr:from>
    <xdr:to>
      <xdr:col>14</xdr:col>
      <xdr:colOff>743917</xdr:colOff>
      <xdr:row>34</xdr:row>
      <xdr:rowOff>79491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BB0BA26-692A-A24A-8CCC-55A639A13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279400</xdr:colOff>
      <xdr:row>1</xdr:row>
      <xdr:rowOff>63500</xdr:rowOff>
    </xdr:from>
    <xdr:to>
      <xdr:col>23</xdr:col>
      <xdr:colOff>279400</xdr:colOff>
      <xdr:row>11</xdr:row>
      <xdr:rowOff>101600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1F0FE6E-710F-2747-80C9-338322119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660400</xdr:colOff>
      <xdr:row>17</xdr:row>
      <xdr:rowOff>152400</xdr:rowOff>
    </xdr:from>
    <xdr:to>
      <xdr:col>23</xdr:col>
      <xdr:colOff>660400</xdr:colOff>
      <xdr:row>27</xdr:row>
      <xdr:rowOff>177800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C031216-C831-C74C-B8B2-8C9F2B0CE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609600</xdr:colOff>
      <xdr:row>34</xdr:row>
      <xdr:rowOff>0</xdr:rowOff>
    </xdr:from>
    <xdr:to>
      <xdr:col>23</xdr:col>
      <xdr:colOff>609600</xdr:colOff>
      <xdr:row>44</xdr:row>
      <xdr:rowOff>38100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A356AC7-11D8-DD4F-B36D-73BFCC9EC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406400</xdr:colOff>
      <xdr:row>9</xdr:row>
      <xdr:rowOff>38100</xdr:rowOff>
    </xdr:from>
    <xdr:to>
      <xdr:col>17</xdr:col>
      <xdr:colOff>49473</xdr:colOff>
      <xdr:row>32</xdr:row>
      <xdr:rowOff>45872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BF133DB-AF44-CA47-8CAE-D5F5FC47A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45451C-4935-2C48-B8A0-23ADB8F4241E}" name="Таблица3" displayName="Таблица3" ref="A1:G96" totalsRowCount="1" tableBorderDxfId="42">
  <autoFilter ref="A1:G95" xr:uid="{7B45451C-4935-2C48-B8A0-23ADB8F4241E}"/>
  <sortState xmlns:xlrd2="http://schemas.microsoft.com/office/spreadsheetml/2017/richdata2" ref="A2:G95">
    <sortCondition ref="A1:A95"/>
  </sortState>
  <tableColumns count="7">
    <tableColumn id="1" xr3:uid="{26A95C3E-36A5-D948-9F9F-681F5AA993C2}" name="Сбербанк-цена" totalsRowFunction="sum" dataDxfId="41" totalsRowDxfId="40"/>
    <tableColumn id="2" xr3:uid="{33766A49-8FC4-7742-B3DB-5B5619D7DEFD}" name="Сбербанк-объем" totalsRowFunction="sum" dataDxfId="39" totalsRowDxfId="38"/>
    <tableColumn id="3" xr3:uid="{93253A01-C458-484F-A989-608830A11F41}" name="h=k1*x+k0" totalsRowFunction="sum" dataDxfId="37" totalsRowDxfId="36">
      <calculatedColumnFormula>k1_*Таблица3[[#This Row],[Сбербанк-цена]]+k0</calculatedColumnFormula>
    </tableColumn>
    <tableColumn id="4" xr3:uid="{60640FA2-6C33-E949-9C19-EDEC656EAD4D}" name="y-h" totalsRowFunction="sum" dataDxfId="35" totalsRowDxfId="34">
      <calculatedColumnFormula>Таблица3[[#This Row],[Сбербанк-объем]]-Таблица3[[#This Row],[h=k1*x+k0]]</calculatedColumnFormula>
    </tableColumn>
    <tableColumn id="5" xr3:uid="{5B273A1F-5314-C348-9CAC-F4CB4589D80C}" name="(y-h)^2" totalsRowFunction="sum" dataDxfId="33" totalsRowDxfId="32">
      <calculatedColumnFormula>Таблица3[[#This Row],[y-h]]^2</calculatedColumnFormula>
    </tableColumn>
    <tableColumn id="6" xr3:uid="{A479A59A-3CDE-4D42-A169-01A0423CBCA7}" name="x^2" totalsRowFunction="sum" dataDxfId="31" totalsRowDxfId="30">
      <calculatedColumnFormula>Таблица3[[#This Row],[Сбербанк-цена]]^2</calculatedColumnFormula>
    </tableColumn>
    <tableColumn id="7" xr3:uid="{8EEC418E-4C83-3C4F-9232-F52257638097}" name="x*y" totalsRowFunction="sum" dataDxfId="29" totalsRowDxfId="28">
      <calculatedColumnFormula>Таблица3[[#This Row],[Сбербанк-цена]]*Таблица3[[#This Row],[Сбербанк-объем]]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24C3C8-38FF-D64E-9AFE-CECBF41359A3}" name="ГАЗПРОМ_1" displayName="ГАЗПРОМ_1" ref="A1:G96" totalsRowCount="1" headerRowDxfId="27" headerRowBorderDxfId="26" tableBorderDxfId="25">
  <autoFilter ref="A1:G95" xr:uid="{B824C3C8-38FF-D64E-9AFE-CECBF41359A3}"/>
  <tableColumns count="7">
    <tableColumn id="1" xr3:uid="{088CE3E2-D366-2944-B5D4-B2F9E29F9FB5}" name="Газпром-цена" totalsRowFunction="sum" dataDxfId="24" totalsRowDxfId="23"/>
    <tableColumn id="2" xr3:uid="{06EE5DA9-1484-854F-A399-3739207D3BDC}" name="Газпром-объем" totalsRowFunction="sum" dataDxfId="22" totalsRowDxfId="21"/>
    <tableColumn id="3" xr3:uid="{306E8154-9F9E-F240-B87C-6391BC878910}" name="h=k1*x+k0" totalsRowFunction="sum" dataDxfId="20">
      <calculatedColumnFormula>k1_*ГАЗПРОМ_1[[#This Row],[Газпром-цена]]+k0</calculatedColumnFormula>
    </tableColumn>
    <tableColumn id="4" xr3:uid="{F45DCDEA-8757-AD46-AFA5-0428B52D69E4}" name="y-h" totalsRowFunction="sum" dataDxfId="19">
      <calculatedColumnFormula>ГАЗПРОМ_1[[#This Row],[Газпром-объем]]-ГАЗПРОМ_1[[#This Row],[h=k1*x+k0]]</calculatedColumnFormula>
    </tableColumn>
    <tableColumn id="5" xr3:uid="{6BC82FD8-F740-384C-BB0F-7CAE1F556B3F}" name="(y-h)^2" totalsRowFunction="sum" dataDxfId="18">
      <calculatedColumnFormula>ГАЗПРОМ_1[[#This Row],[y-h]]^2</calculatedColumnFormula>
    </tableColumn>
    <tableColumn id="6" xr3:uid="{D4555C06-F51D-A84A-B204-C69E65E6106A}" name="x^2" totalsRowFunction="custom" dataDxfId="17">
      <calculatedColumnFormula>ГАЗПРОМ_1[[#This Row],[Газпром-цена]]^2</calculatedColumnFormula>
      <totalsRowFormula>SUM(F2:F95)</totalsRowFormula>
    </tableColumn>
    <tableColumn id="7" xr3:uid="{0865C2AF-4F42-3644-8518-F733AAD6D07F}" name="x*y" totalsRowFunction="custom" dataDxfId="16">
      <calculatedColumnFormula>ГАЗПРОМ_1[[#This Row],[Газпром-цена]]*ГАЗПРОМ_1[[#This Row],[Газпром-объем]]</calculatedColumnFormula>
      <totalsRowFormula>SUM(G2:G95)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AD8F1E-AC5C-5040-9EC7-5B05B1A70895}" name="ВТБ_1" displayName="ВТБ_1" ref="A1:G95" totalsRowCount="1" headerRowDxfId="15" headerRowBorderDxfId="14" tableBorderDxfId="13">
  <autoFilter ref="A1:G94" xr:uid="{77AD8F1E-AC5C-5040-9EC7-5B05B1A70895}"/>
  <tableColumns count="7">
    <tableColumn id="1" xr3:uid="{AEA07C9A-CAE9-2C4D-8DD7-9A96D583A1DE}" name="Втб ао цена" totalsRowFunction="sum" dataDxfId="3" totalsRowDxfId="10"/>
    <tableColumn id="2" xr3:uid="{26B9649D-4C72-F343-B8A3-CC0C5C2736BA}" name="Втб ао объем" totalsRowFunction="sum" dataDxfId="2"/>
    <tableColumn id="3" xr3:uid="{2382D00F-93F9-B548-8B65-401CA6E40CA2}" name="h=k1*x+k0" totalsRowFunction="sum" dataDxfId="0" totalsRowDxfId="9">
      <calculatedColumnFormula>k1_v*ВТБ_1[[#This Row],[Втб ао цена]]+k0_v</calculatedColumnFormula>
    </tableColumn>
    <tableColumn id="4" xr3:uid="{9F50CDE5-D894-3547-AAB2-5DA3D5F73E0F}" name="y-h" totalsRowFunction="sum" dataDxfId="1" totalsRowDxfId="8">
      <calculatedColumnFormula>ВТБ_1[[#This Row],[Втб ао объем]]-ВТБ_1[[#This Row],[h=k1*x+k0]]</calculatedColumnFormula>
    </tableColumn>
    <tableColumn id="5" xr3:uid="{9E80DAF0-BF7A-0A45-A3D7-835E67AE9BE6}" name="(y-h)^2" totalsRowFunction="sum" dataDxfId="4" totalsRowDxfId="7">
      <calculatedColumnFormula>ВТБ_1[[#This Row],[y-h]]^2</calculatedColumnFormula>
    </tableColumn>
    <tableColumn id="6" xr3:uid="{A1CF8366-FE70-EF4F-A230-576DE588F15C}" name="x^2" totalsRowFunction="sum" dataDxfId="12" totalsRowDxfId="6">
      <calculatedColumnFormula>ВТБ_1[[#This Row],[Втб ао цена]]^2</calculatedColumnFormula>
    </tableColumn>
    <tableColumn id="7" xr3:uid="{BF827D37-FB6B-474F-A710-F38541F935FA}" name="x*y" totalsRowFunction="sum" dataDxfId="11" totalsRowDxfId="5">
      <calculatedColumnFormula>ВТБ_1[[#This Row],[Втб ао цена]]*ВТБ_1[[#This Row],[Втб ао объем]]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5B61-7268-7A44-BD6B-0E3C006D348B}">
  <dimension ref="A1:Q164"/>
  <sheetViews>
    <sheetView topLeftCell="C1" zoomScale="67" zoomScaleNormal="80" workbookViewId="0">
      <selection activeCell="D2" sqref="D2"/>
    </sheetView>
  </sheetViews>
  <sheetFormatPr baseColWidth="10" defaultRowHeight="16" x14ac:dyDescent="0.2"/>
  <cols>
    <col min="2" max="2" width="23.33203125" customWidth="1"/>
    <col min="3" max="3" width="25" customWidth="1"/>
    <col min="4" max="4" width="19.5" customWidth="1"/>
    <col min="5" max="5" width="29" customWidth="1"/>
    <col min="6" max="6" width="19" customWidth="1"/>
    <col min="7" max="7" width="22" customWidth="1"/>
    <col min="9" max="9" width="13.5" bestFit="1" customWidth="1"/>
    <col min="10" max="10" width="19.83203125" customWidth="1"/>
    <col min="11" max="11" width="24.5" customWidth="1"/>
    <col min="13" max="13" width="20.83203125" customWidth="1"/>
    <col min="14" max="14" width="14" customWidth="1"/>
  </cols>
  <sheetData>
    <row r="1" spans="1:13" x14ac:dyDescent="0.2">
      <c r="A1" s="1" t="s">
        <v>0</v>
      </c>
      <c r="B1" s="2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13" x14ac:dyDescent="0.2">
      <c r="A2" s="3">
        <v>54.9</v>
      </c>
      <c r="B2" s="4">
        <v>4337561310</v>
      </c>
      <c r="C2" s="5">
        <f>k1_*Таблица3[[#This Row],[Сбербанк-цена]]+k0</f>
        <v>2542716886.4484148</v>
      </c>
      <c r="D2" s="5">
        <f>Таблица3[[#This Row],[Сбербанк-объем]]-Таблица3[[#This Row],[h=k1*x+k0]]</f>
        <v>1794844423.5515852</v>
      </c>
      <c r="E2" s="5">
        <f>Таблица3[[#This Row],[y-h]]^2</f>
        <v>3.2214665047542221E+18</v>
      </c>
      <c r="F2" s="5">
        <f>Таблица3[[#This Row],[Сбербанк-цена]]^2</f>
        <v>3014.0099999999998</v>
      </c>
      <c r="G2" s="5">
        <f>Таблица3[[#This Row],[Сбербанк-цена]]*Таблица3[[#This Row],[Сбербанк-объем]]</f>
        <v>238132115919</v>
      </c>
    </row>
    <row r="3" spans="1:13" x14ac:dyDescent="0.2">
      <c r="A3" s="3">
        <v>61.5</v>
      </c>
      <c r="B3" s="4">
        <v>2691982770</v>
      </c>
      <c r="C3" s="5">
        <f>k1_*Таблица3[[#This Row],[Сбербанк-цена]]+k0</f>
        <v>2482216346.7365713</v>
      </c>
      <c r="D3" s="5">
        <f>Таблица3[[#This Row],[Сбербанк-объем]]-Таблица3[[#This Row],[h=k1*x+k0]]</f>
        <v>209766423.26342869</v>
      </c>
      <c r="E3" s="5">
        <f>Таблица3[[#This Row],[y-h]]^2</f>
        <v>4.400195232873192E+16</v>
      </c>
      <c r="F3" s="5">
        <f>Таблица3[[#This Row],[Сбербанк-цена]]^2</f>
        <v>3782.25</v>
      </c>
      <c r="G3" s="5">
        <f>Таблица3[[#This Row],[Сбербанк-цена]]*Таблица3[[#This Row],[Сбербанк-объем]]</f>
        <v>165556940355</v>
      </c>
    </row>
    <row r="4" spans="1:13" x14ac:dyDescent="0.2">
      <c r="A4" s="3">
        <v>62.88</v>
      </c>
      <c r="B4" s="4">
        <v>2785656310</v>
      </c>
      <c r="C4" s="5">
        <f>k1_*Таблица3[[#This Row],[Сбербанк-цена]]+k0</f>
        <v>2469566233.8877316</v>
      </c>
      <c r="D4" s="5">
        <f>Таблица3[[#This Row],[Сбербанк-объем]]-Таблица3[[#This Row],[h=k1*x+k0]]</f>
        <v>316090076.11226845</v>
      </c>
      <c r="E4" s="5">
        <f>Таблица3[[#This Row],[y-h]]^2</f>
        <v>9.9912936216659664E+16</v>
      </c>
      <c r="F4" s="5">
        <f>Таблица3[[#This Row],[Сбербанк-цена]]^2</f>
        <v>3953.8944000000001</v>
      </c>
      <c r="G4" s="5">
        <f>Таблица3[[#This Row],[Сбербанк-цена]]*Таблица3[[#This Row],[Сбербанк-объем]]</f>
        <v>175162068772.80002</v>
      </c>
    </row>
    <row r="5" spans="1:13" x14ac:dyDescent="0.2">
      <c r="A5" s="3">
        <v>72.25</v>
      </c>
      <c r="B5" s="4">
        <v>2030051460</v>
      </c>
      <c r="C5" s="5">
        <f>k1_*Таблица3[[#This Row],[Сбербанк-цена]]+k0</f>
        <v>2383673800.9937968</v>
      </c>
      <c r="D5" s="5">
        <f>Таблица3[[#This Row],[Сбербанк-объем]]-Таблица3[[#This Row],[h=k1*x+k0]]</f>
        <v>-353622340.99379683</v>
      </c>
      <c r="E5" s="5">
        <f>Таблица3[[#This Row],[y-h]]^2</f>
        <v>1.2504876004993312E+17</v>
      </c>
      <c r="F5" s="5">
        <f>Таблица3[[#This Row],[Сбербанк-цена]]^2</f>
        <v>5220.0625</v>
      </c>
      <c r="G5" s="5">
        <f>Таблица3[[#This Row],[Сбербанк-цена]]*Таблица3[[#This Row],[Сбербанк-объем]]</f>
        <v>146671217985</v>
      </c>
    </row>
    <row r="6" spans="1:13" x14ac:dyDescent="0.2">
      <c r="A6" s="3">
        <v>72.3</v>
      </c>
      <c r="B6" s="4">
        <v>2690621070</v>
      </c>
      <c r="C6" s="5">
        <f>k1_*Таблица3[[#This Row],[Сбербанк-цена]]+k0</f>
        <v>2383215463.5717373</v>
      </c>
      <c r="D6" s="5">
        <f>Таблица3[[#This Row],[Сбербанк-объем]]-Таблица3[[#This Row],[h=k1*x+k0]]</f>
        <v>307405606.42826271</v>
      </c>
      <c r="E6" s="5">
        <f>Таблица3[[#This Row],[y-h]]^2</f>
        <v>9.4498206863527952E+16</v>
      </c>
      <c r="F6" s="5">
        <f>Таблица3[[#This Row],[Сбербанк-цена]]^2</f>
        <v>5227.29</v>
      </c>
      <c r="G6" s="5">
        <f>Таблица3[[#This Row],[Сбербанк-цена]]*Таблица3[[#This Row],[Сбербанк-объем]]</f>
        <v>194531903361</v>
      </c>
      <c r="I6" s="6" t="s">
        <v>9</v>
      </c>
      <c r="J6" s="7">
        <f>I43</f>
        <v>3045971375.8696556</v>
      </c>
      <c r="K6" s="6"/>
      <c r="L6" s="6" t="s">
        <v>10</v>
      </c>
      <c r="M6" s="7">
        <f>I42</f>
        <v>-9166748.4411883578</v>
      </c>
    </row>
    <row r="7" spans="1:13" x14ac:dyDescent="0.2">
      <c r="A7" s="3">
        <v>72.349999999999994</v>
      </c>
      <c r="B7" s="4">
        <v>1885405260</v>
      </c>
      <c r="C7" s="5">
        <f>k1_*Таблица3[[#This Row],[Сбербанк-цена]]+k0</f>
        <v>2382757126.1496782</v>
      </c>
      <c r="D7" s="5">
        <f>Таблица3[[#This Row],[Сбербанк-объем]]-Таблица3[[#This Row],[h=k1*x+k0]]</f>
        <v>-497351866.14967823</v>
      </c>
      <c r="E7" s="5">
        <f>Таблица3[[#This Row],[y-h]]^2</f>
        <v>2.4735887876256746E+17</v>
      </c>
      <c r="F7" s="5">
        <f>Таблица3[[#This Row],[Сбербанк-цена]]^2</f>
        <v>5234.5224999999991</v>
      </c>
      <c r="G7" s="5">
        <f>Таблица3[[#This Row],[Сбербанк-цена]]*Таблица3[[#This Row],[Сбербанк-объем]]</f>
        <v>136409070560.99998</v>
      </c>
    </row>
    <row r="8" spans="1:13" x14ac:dyDescent="0.2">
      <c r="A8" s="3">
        <v>72.5</v>
      </c>
      <c r="B8" s="4">
        <v>4013046200</v>
      </c>
      <c r="C8" s="5">
        <f>k1_*Таблица3[[#This Row],[Сбербанк-цена]]+k0</f>
        <v>2381382113.8834996</v>
      </c>
      <c r="D8" s="5">
        <f>Таблица3[[#This Row],[Сбербанк-объем]]-Таблица3[[#This Row],[h=k1*x+k0]]</f>
        <v>1631664086.1165004</v>
      </c>
      <c r="E8" s="5">
        <f>Таблица3[[#This Row],[y-h]]^2</f>
        <v>2.6623276899223941E+18</v>
      </c>
      <c r="F8" s="5">
        <f>Таблица3[[#This Row],[Сбербанк-цена]]^2</f>
        <v>5256.25</v>
      </c>
      <c r="G8" s="5">
        <f>Таблица3[[#This Row],[Сбербанк-цена]]*Таблица3[[#This Row],[Сбербанк-объем]]</f>
        <v>290945849500</v>
      </c>
    </row>
    <row r="9" spans="1:13" x14ac:dyDescent="0.2">
      <c r="A9" s="3">
        <v>73.209999999999994</v>
      </c>
      <c r="B9" s="4">
        <v>3076887590</v>
      </c>
      <c r="C9" s="5">
        <f>k1_*Таблица3[[#This Row],[Сбербанк-цена]]+k0</f>
        <v>2374873722.4902558</v>
      </c>
      <c r="D9" s="5">
        <f>Таблица3[[#This Row],[Сбербанк-объем]]-Таблица3[[#This Row],[h=k1*x+k0]]</f>
        <v>702013867.50974417</v>
      </c>
      <c r="E9" s="5">
        <f>Таблица3[[#This Row],[y-h]]^2</f>
        <v>4.9282347017598861E+17</v>
      </c>
      <c r="F9" s="5">
        <f>Таблица3[[#This Row],[Сбербанк-цена]]^2</f>
        <v>5359.704099999999</v>
      </c>
      <c r="G9" s="5">
        <f>Таблица3[[#This Row],[Сбербанк-цена]]*Таблица3[[#This Row],[Сбербанк-объем]]</f>
        <v>225258940463.89999</v>
      </c>
    </row>
    <row r="10" spans="1:13" x14ac:dyDescent="0.2">
      <c r="A10" s="3">
        <v>73.5</v>
      </c>
      <c r="B10" s="4">
        <v>1830904250</v>
      </c>
      <c r="C10" s="5">
        <f>k1_*Таблица3[[#This Row],[Сбербанк-цена]]+k0</f>
        <v>2372215365.4423113</v>
      </c>
      <c r="D10" s="5">
        <f>Таблица3[[#This Row],[Сбербанк-объем]]-Таблица3[[#This Row],[h=k1*x+k0]]</f>
        <v>-541311115.44231129</v>
      </c>
      <c r="E10" s="5">
        <f>Таблица3[[#This Row],[y-h]]^2</f>
        <v>2.9301772370139923E+17</v>
      </c>
      <c r="F10" s="5">
        <f>Таблица3[[#This Row],[Сбербанк-цена]]^2</f>
        <v>5402.25</v>
      </c>
      <c r="G10" s="5">
        <f>Таблица3[[#This Row],[Сбербанк-цена]]*Таблица3[[#This Row],[Сбербанк-объем]]</f>
        <v>134571462375</v>
      </c>
    </row>
    <row r="11" spans="1:13" x14ac:dyDescent="0.2">
      <c r="A11" s="3">
        <v>73.599999999999994</v>
      </c>
      <c r="B11" s="4">
        <v>2551370010</v>
      </c>
      <c r="C11" s="5">
        <f>k1_*Таблица3[[#This Row],[Сбербанк-цена]]+k0</f>
        <v>2371298690.5981927</v>
      </c>
      <c r="D11" s="5">
        <f>Таблица3[[#This Row],[Сбербанк-объем]]-Таблица3[[#This Row],[h=k1*x+k0]]</f>
        <v>180071319.40180731</v>
      </c>
      <c r="E11" s="5">
        <f>Таблица3[[#This Row],[y-h]]^2</f>
        <v>3.2425680071107704E+16</v>
      </c>
      <c r="F11" s="5">
        <f>Таблица3[[#This Row],[Сбербанк-цена]]^2</f>
        <v>5416.9599999999991</v>
      </c>
      <c r="G11" s="5">
        <f>Таблица3[[#This Row],[Сбербанк-цена]]*Таблица3[[#This Row],[Сбербанк-объем]]</f>
        <v>187780832736</v>
      </c>
    </row>
    <row r="12" spans="1:13" x14ac:dyDescent="0.2">
      <c r="A12" s="3">
        <v>74.5</v>
      </c>
      <c r="B12" s="4">
        <v>2488111940</v>
      </c>
      <c r="C12" s="5">
        <f>k1_*Таблица3[[#This Row],[Сбербанк-цена]]+k0</f>
        <v>2363048617.001123</v>
      </c>
      <c r="D12" s="5">
        <f>Таблица3[[#This Row],[Сбербанк-объем]]-Таблица3[[#This Row],[h=k1*x+k0]]</f>
        <v>125063322.99887705</v>
      </c>
      <c r="E12" s="5">
        <f>Таблица3[[#This Row],[y-h]]^2</f>
        <v>1.5640834759521448E+16</v>
      </c>
      <c r="F12" s="5">
        <f>Таблица3[[#This Row],[Сбербанк-цена]]^2</f>
        <v>5550.25</v>
      </c>
      <c r="G12" s="5">
        <f>Таблица3[[#This Row],[Сбербанк-цена]]*Таблица3[[#This Row],[Сбербанк-объем]]</f>
        <v>185364339530</v>
      </c>
    </row>
    <row r="13" spans="1:13" x14ac:dyDescent="0.2">
      <c r="A13" s="3">
        <v>75.3</v>
      </c>
      <c r="B13" s="4">
        <v>2008042110</v>
      </c>
      <c r="C13" s="5">
        <f>k1_*Таблица3[[#This Row],[Сбербанк-цена]]+k0</f>
        <v>2355715218.2481723</v>
      </c>
      <c r="D13" s="5">
        <f>Таблица3[[#This Row],[Сбербанк-объем]]-Таблица3[[#This Row],[h=k1*x+k0]]</f>
        <v>-347673108.24817228</v>
      </c>
      <c r="E13" s="5">
        <f>Таблица3[[#This Row],[y-h]]^2</f>
        <v>1.2087659019894533E+17</v>
      </c>
      <c r="F13" s="5">
        <f>Таблица3[[#This Row],[Сбербанк-цена]]^2</f>
        <v>5670.0899999999992</v>
      </c>
      <c r="G13" s="5">
        <f>Таблица3[[#This Row],[Сбербанк-цена]]*Таблица3[[#This Row],[Сбербанк-объем]]</f>
        <v>151205570883</v>
      </c>
    </row>
    <row r="14" spans="1:13" x14ac:dyDescent="0.2">
      <c r="A14" s="3">
        <v>75.52</v>
      </c>
      <c r="B14" s="4">
        <v>2891411920</v>
      </c>
      <c r="C14" s="5">
        <f>k1_*Таблица3[[#This Row],[Сбербанк-цена]]+k0</f>
        <v>2353698533.5911107</v>
      </c>
      <c r="D14" s="5">
        <f>Таблица3[[#This Row],[Сбербанк-объем]]-Таблица3[[#This Row],[h=k1*x+k0]]</f>
        <v>537713386.40888929</v>
      </c>
      <c r="E14" s="5">
        <f>Таблица3[[#This Row],[y-h]]^2</f>
        <v>2.8913568592331552E+17</v>
      </c>
      <c r="F14" s="5">
        <f>Таблица3[[#This Row],[Сбербанк-цена]]^2</f>
        <v>5703.2703999999994</v>
      </c>
      <c r="G14" s="5">
        <f>Таблица3[[#This Row],[Сбербанк-цена]]*Таблица3[[#This Row],[Сбербанк-объем]]</f>
        <v>218359428198.39999</v>
      </c>
    </row>
    <row r="15" spans="1:13" x14ac:dyDescent="0.2">
      <c r="A15" s="3">
        <v>75.91</v>
      </c>
      <c r="B15" s="4">
        <v>3583789870</v>
      </c>
      <c r="C15" s="5">
        <f>k1_*Таблица3[[#This Row],[Сбербанк-цена]]+k0</f>
        <v>2350123501.6990476</v>
      </c>
      <c r="D15" s="5">
        <f>Таблица3[[#This Row],[Сбербанк-объем]]-Таблица3[[#This Row],[h=k1*x+k0]]</f>
        <v>1233666368.3009524</v>
      </c>
      <c r="E15" s="5">
        <f>Таблица3[[#This Row],[y-h]]^2</f>
        <v>1.5219327082768612E+18</v>
      </c>
      <c r="F15" s="5">
        <f>Таблица3[[#This Row],[Сбербанк-цена]]^2</f>
        <v>5762.3280999999997</v>
      </c>
      <c r="G15" s="5">
        <f>Таблица3[[#This Row],[Сбербанк-цена]]*Таблица3[[#This Row],[Сбербанк-объем]]</f>
        <v>272045489031.69998</v>
      </c>
    </row>
    <row r="16" spans="1:13" x14ac:dyDescent="0.2">
      <c r="A16" s="3">
        <v>76.23</v>
      </c>
      <c r="B16" s="4">
        <v>2905609940</v>
      </c>
      <c r="C16" s="5">
        <f>k1_*Таблица3[[#This Row],[Сбербанк-цена]]+k0</f>
        <v>2347190142.1978669</v>
      </c>
      <c r="D16" s="5">
        <f>Таблица3[[#This Row],[Сбербанк-объем]]-Таблица3[[#This Row],[h=k1*x+k0]]</f>
        <v>558419797.80213308</v>
      </c>
      <c r="E16" s="5">
        <f>Таблица3[[#This Row],[y-h]]^2</f>
        <v>3.1183267057737517E+17</v>
      </c>
      <c r="F16" s="5">
        <f>Таблица3[[#This Row],[Сбербанк-цена]]^2</f>
        <v>5811.0129000000006</v>
      </c>
      <c r="G16" s="5">
        <f>Таблица3[[#This Row],[Сбербанк-цена]]*Таблица3[[#This Row],[Сбербанк-объем]]</f>
        <v>221494645726.20001</v>
      </c>
    </row>
    <row r="17" spans="1:7" x14ac:dyDescent="0.2">
      <c r="A17" s="3">
        <v>76.900000000000006</v>
      </c>
      <c r="B17" s="4">
        <v>3217030850</v>
      </c>
      <c r="C17" s="5">
        <f>k1_*Таблица3[[#This Row],[Сбербанк-цена]]+k0</f>
        <v>2341048420.7422709</v>
      </c>
      <c r="D17" s="5">
        <f>Таблица3[[#This Row],[Сбербанк-объем]]-Таблица3[[#This Row],[h=k1*x+k0]]</f>
        <v>875982429.25772905</v>
      </c>
      <c r="E17" s="5">
        <f>Таблица3[[#This Row],[y-h]]^2</f>
        <v>7.6734521636827226E+17</v>
      </c>
      <c r="F17" s="5">
        <f>Таблица3[[#This Row],[Сбербанк-цена]]^2</f>
        <v>5913.6100000000006</v>
      </c>
      <c r="G17" s="5">
        <f>Таблица3[[#This Row],[Сбербанк-цена]]*Таблица3[[#This Row],[Сбербанк-объем]]</f>
        <v>247389672365.00003</v>
      </c>
    </row>
    <row r="18" spans="1:7" x14ac:dyDescent="0.2">
      <c r="A18" s="3">
        <v>83.8</v>
      </c>
      <c r="B18" s="4">
        <v>4898591710</v>
      </c>
      <c r="C18" s="5">
        <f>k1_*Таблица3[[#This Row],[Сбербанк-цена]]+k0</f>
        <v>2277797856.4980712</v>
      </c>
      <c r="D18" s="5">
        <f>Таблица3[[#This Row],[Сбербанк-объем]]-Таблица3[[#This Row],[h=k1*x+k0]]</f>
        <v>2620793853.5019288</v>
      </c>
      <c r="E18" s="5">
        <f>Таблица3[[#This Row],[y-h]]^2</f>
        <v>6.8685604225534894E+18</v>
      </c>
      <c r="F18" s="5">
        <f>Таблица3[[#This Row],[Сбербанк-цена]]^2</f>
        <v>7022.44</v>
      </c>
      <c r="G18" s="5">
        <f>Таблица3[[#This Row],[Сбербанк-цена]]*Таблица3[[#This Row],[Сбербанк-объем]]</f>
        <v>410501985298</v>
      </c>
    </row>
    <row r="19" spans="1:7" x14ac:dyDescent="0.2">
      <c r="A19" s="3">
        <v>84.5</v>
      </c>
      <c r="B19" s="4">
        <v>3001439250</v>
      </c>
      <c r="C19" s="5">
        <f>k1_*Таблица3[[#This Row],[Сбербанк-цена]]+k0</f>
        <v>2271381132.5892391</v>
      </c>
      <c r="D19" s="5">
        <f>Таблица3[[#This Row],[Сбербанк-объем]]-Таблица3[[#This Row],[h=k1*x+k0]]</f>
        <v>730058117.41076088</v>
      </c>
      <c r="E19" s="5">
        <f>Таблица3[[#This Row],[y-h]]^2</f>
        <v>5.3298485479734432E+17</v>
      </c>
      <c r="F19" s="5">
        <f>Таблица3[[#This Row],[Сбербанк-цена]]^2</f>
        <v>7140.25</v>
      </c>
      <c r="G19" s="5">
        <f>Таблица3[[#This Row],[Сбербанк-цена]]*Таблица3[[#This Row],[Сбербанк-объем]]</f>
        <v>253621616625</v>
      </c>
    </row>
    <row r="20" spans="1:7" x14ac:dyDescent="0.2">
      <c r="A20" s="3">
        <v>84.5</v>
      </c>
      <c r="B20" s="4">
        <v>2008494660</v>
      </c>
      <c r="C20" s="5">
        <f>k1_*Таблица3[[#This Row],[Сбербанк-цена]]+k0</f>
        <v>2271381132.5892391</v>
      </c>
      <c r="D20" s="5">
        <f>Таблица3[[#This Row],[Сбербанк-объем]]-Таблица3[[#This Row],[h=k1*x+k0]]</f>
        <v>-262886472.58923912</v>
      </c>
      <c r="E20" s="5">
        <f>Таблица3[[#This Row],[y-h]]^2</f>
        <v>6.9109297470412768E+16</v>
      </c>
      <c r="F20" s="5">
        <f>Таблица3[[#This Row],[Сбербанк-цена]]^2</f>
        <v>7140.25</v>
      </c>
      <c r="G20" s="5">
        <f>Таблица3[[#This Row],[Сбербанк-цена]]*Таблица3[[#This Row],[Сбербанк-объем]]</f>
        <v>169717798770</v>
      </c>
    </row>
    <row r="21" spans="1:7" x14ac:dyDescent="0.2">
      <c r="A21" s="3">
        <v>88.23</v>
      </c>
      <c r="B21" s="4">
        <v>1414145480</v>
      </c>
      <c r="C21" s="5">
        <f>k1_*Таблица3[[#This Row],[Сбербанк-цена]]+k0</f>
        <v>2237189160.9036069</v>
      </c>
      <c r="D21" s="5">
        <f>Таблица3[[#This Row],[Сбербанк-объем]]-Таблица3[[#This Row],[h=k1*x+k0]]</f>
        <v>-823043680.90360689</v>
      </c>
      <c r="E21" s="5">
        <f>Таблица3[[#This Row],[y-h]]^2</f>
        <v>6.7740090067535834E+17</v>
      </c>
      <c r="F21" s="5">
        <f>Таблица3[[#This Row],[Сбербанк-цена]]^2</f>
        <v>7784.5329000000011</v>
      </c>
      <c r="G21" s="5">
        <f>Таблица3[[#This Row],[Сбербанк-цена]]*Таблица3[[#This Row],[Сбербанк-объем]]</f>
        <v>124770055700.40001</v>
      </c>
    </row>
    <row r="22" spans="1:7" x14ac:dyDescent="0.2">
      <c r="A22" s="3">
        <v>90.53</v>
      </c>
      <c r="B22" s="4">
        <v>2849625200</v>
      </c>
      <c r="C22" s="5">
        <f>k1_*Таблица3[[#This Row],[Сбербанк-цена]]+k0</f>
        <v>2216105639.4888735</v>
      </c>
      <c r="D22" s="5">
        <f>Таблица3[[#This Row],[Сбербанк-объем]]-Таблица3[[#This Row],[h=k1*x+k0]]</f>
        <v>633519560.51112652</v>
      </c>
      <c r="E22" s="5">
        <f>Таблица3[[#This Row],[y-h]]^2</f>
        <v>4.0134703355021088E+17</v>
      </c>
      <c r="F22" s="5">
        <f>Таблица3[[#This Row],[Сбербанк-цена]]^2</f>
        <v>8195.6808999999994</v>
      </c>
      <c r="G22" s="5">
        <f>Таблица3[[#This Row],[Сбербанк-цена]]*Таблица3[[#This Row],[Сбербанк-объем]]</f>
        <v>257976569356</v>
      </c>
    </row>
    <row r="23" spans="1:7" x14ac:dyDescent="0.2">
      <c r="A23" s="3">
        <v>91.16</v>
      </c>
      <c r="B23" s="4">
        <v>1510458530</v>
      </c>
      <c r="C23" s="5">
        <f>k1_*Таблица3[[#This Row],[Сбербанк-цена]]+k0</f>
        <v>2210330587.9709249</v>
      </c>
      <c r="D23" s="5">
        <f>Таблица3[[#This Row],[Сбербанк-объем]]-Таблица3[[#This Row],[h=k1*x+k0]]</f>
        <v>-699872057.97092485</v>
      </c>
      <c r="E23" s="5">
        <f>Таблица3[[#This Row],[y-h]]^2</f>
        <v>4.898208975284576E+17</v>
      </c>
      <c r="F23" s="5">
        <f>Таблица3[[#This Row],[Сбербанк-цена]]^2</f>
        <v>8310.1455999999998</v>
      </c>
      <c r="G23" s="5">
        <f>Таблица3[[#This Row],[Сбербанк-цена]]*Таблица3[[#This Row],[Сбербанк-объем]]</f>
        <v>137693399594.79999</v>
      </c>
    </row>
    <row r="24" spans="1:7" x14ac:dyDescent="0.2">
      <c r="A24" s="3">
        <v>92.94</v>
      </c>
      <c r="B24" s="4">
        <v>1191987680</v>
      </c>
      <c r="C24" s="5">
        <f>k1_*Таблица3[[#This Row],[Сбербанк-цена]]+k0</f>
        <v>2194013775.7456098</v>
      </c>
      <c r="D24" s="5">
        <f>Таблица3[[#This Row],[Сбербанк-объем]]-Таблица3[[#This Row],[h=k1*x+k0]]</f>
        <v>-1002026095.7456098</v>
      </c>
      <c r="E24" s="5">
        <f>Таблица3[[#This Row],[y-h]]^2</f>
        <v>1.0040562965551899E+18</v>
      </c>
      <c r="F24" s="5">
        <f>Таблица3[[#This Row],[Сбербанк-цена]]^2</f>
        <v>8637.8436000000002</v>
      </c>
      <c r="G24" s="5">
        <f>Таблица3[[#This Row],[Сбербанк-цена]]*Таблица3[[#This Row],[Сбербанк-объем]]</f>
        <v>110783334979.2</v>
      </c>
    </row>
    <row r="25" spans="1:7" x14ac:dyDescent="0.2">
      <c r="A25" s="3">
        <v>93.68</v>
      </c>
      <c r="B25" s="4">
        <v>1603984540</v>
      </c>
      <c r="C25" s="5">
        <f>k1_*Таблица3[[#This Row],[Сбербанк-цена]]+k0</f>
        <v>2187230381.8991303</v>
      </c>
      <c r="D25" s="5">
        <f>Таблица3[[#This Row],[Сбербанк-объем]]-Таблица3[[#This Row],[h=k1*x+k0]]</f>
        <v>-583245841.89913034</v>
      </c>
      <c r="E25" s="5">
        <f>Таблица3[[#This Row],[y-h]]^2</f>
        <v>3.4017571209262534E+17</v>
      </c>
      <c r="F25" s="5">
        <f>Таблица3[[#This Row],[Сбербанк-цена]]^2</f>
        <v>8775.9424000000017</v>
      </c>
      <c r="G25" s="5">
        <f>Таблица3[[#This Row],[Сбербанк-цена]]*Таблица3[[#This Row],[Сбербанк-объем]]</f>
        <v>150261271707.20001</v>
      </c>
    </row>
    <row r="26" spans="1:7" x14ac:dyDescent="0.2">
      <c r="A26" s="3">
        <v>94.7</v>
      </c>
      <c r="B26" s="4">
        <v>1427259190</v>
      </c>
      <c r="C26" s="5">
        <f>k1_*Таблица3[[#This Row],[Сбербанк-цена]]+k0</f>
        <v>2177880298.4891181</v>
      </c>
      <c r="D26" s="5">
        <f>Таблица3[[#This Row],[Сбербанк-объем]]-Таблица3[[#This Row],[h=k1*x+k0]]</f>
        <v>-750621108.4891181</v>
      </c>
      <c r="E26" s="5">
        <f>Таблица3[[#This Row],[y-h]]^2</f>
        <v>5.6343204850943238E+17</v>
      </c>
      <c r="F26" s="5">
        <f>Таблица3[[#This Row],[Сбербанк-цена]]^2</f>
        <v>8968.09</v>
      </c>
      <c r="G26" s="5">
        <f>Таблица3[[#This Row],[Сбербанк-цена]]*Таблица3[[#This Row],[Сбербанк-объем]]</f>
        <v>135161445293</v>
      </c>
    </row>
    <row r="27" spans="1:7" x14ac:dyDescent="0.2">
      <c r="A27" s="3">
        <v>95.23</v>
      </c>
      <c r="B27" s="4">
        <v>1721040080</v>
      </c>
      <c r="C27" s="5">
        <f>k1_*Таблица3[[#This Row],[Сбербанк-цена]]+k0</f>
        <v>2173021921.8152885</v>
      </c>
      <c r="D27" s="5">
        <f>Таблица3[[#This Row],[Сбербанк-объем]]-Таблица3[[#This Row],[h=k1*x+k0]]</f>
        <v>-451981841.81528854</v>
      </c>
      <c r="E27" s="5">
        <f>Таблица3[[#This Row],[y-h]]^2</f>
        <v>2.0428758533074051E+17</v>
      </c>
      <c r="F27" s="5">
        <f>Таблица3[[#This Row],[Сбербанк-цена]]^2</f>
        <v>9068.7529000000013</v>
      </c>
      <c r="G27" s="5">
        <f>Таблица3[[#This Row],[Сбербанк-цена]]*Таблица3[[#This Row],[Сбербанк-объем]]</f>
        <v>163894646818.39999</v>
      </c>
    </row>
    <row r="28" spans="1:7" x14ac:dyDescent="0.2">
      <c r="A28" s="3">
        <v>96.5</v>
      </c>
      <c r="B28" s="4">
        <v>2060145470</v>
      </c>
      <c r="C28" s="5">
        <f>k1_*Таблица3[[#This Row],[Сбербанк-цена]]+k0</f>
        <v>2161380151.2949791</v>
      </c>
      <c r="D28" s="5">
        <f>Таблица3[[#This Row],[Сбербанк-объем]]-Таблица3[[#This Row],[h=k1*x+k0]]</f>
        <v>-101234681.2949791</v>
      </c>
      <c r="E28" s="5">
        <f>Таблица3[[#This Row],[y-h]]^2</f>
        <v>1.024846069689599E+16</v>
      </c>
      <c r="F28" s="5">
        <f>Таблица3[[#This Row],[Сбербанк-цена]]^2</f>
        <v>9312.25</v>
      </c>
      <c r="G28" s="5">
        <f>Таблица3[[#This Row],[Сбербанк-цена]]*Таблица3[[#This Row],[Сбербанк-объем]]</f>
        <v>198804037855</v>
      </c>
    </row>
    <row r="29" spans="1:7" x14ac:dyDescent="0.2">
      <c r="A29" s="3">
        <v>97.86</v>
      </c>
      <c r="B29" s="4">
        <v>1926407650</v>
      </c>
      <c r="C29" s="5">
        <f>k1_*Таблица3[[#This Row],[Сбербанк-цена]]+k0</f>
        <v>2148913373.4149628</v>
      </c>
      <c r="D29" s="5">
        <f>Таблица3[[#This Row],[Сбербанк-объем]]-Таблица3[[#This Row],[h=k1*x+k0]]</f>
        <v>-222505723.41496277</v>
      </c>
      <c r="E29" s="5">
        <f>Таблица3[[#This Row],[y-h]]^2</f>
        <v>4.9508796952415912E+16</v>
      </c>
      <c r="F29" s="5">
        <f>Таблица3[[#This Row],[Сбербанк-цена]]^2</f>
        <v>9576.5795999999991</v>
      </c>
      <c r="G29" s="5">
        <f>Таблица3[[#This Row],[Сбербанк-цена]]*Таблица3[[#This Row],[Сбербанк-объем]]</f>
        <v>188518252629</v>
      </c>
    </row>
    <row r="30" spans="1:7" x14ac:dyDescent="0.2">
      <c r="A30" s="3">
        <v>98.86</v>
      </c>
      <c r="B30" s="4">
        <v>1691490080</v>
      </c>
      <c r="C30" s="5">
        <f>k1_*Таблица3[[#This Row],[Сбербанк-цена]]+k0</f>
        <v>2139746624.9737744</v>
      </c>
      <c r="D30" s="5">
        <f>Таблица3[[#This Row],[Сбербанк-объем]]-Таблица3[[#This Row],[h=k1*x+k0]]</f>
        <v>-448256544.97377443</v>
      </c>
      <c r="E30" s="5">
        <f>Таблица3[[#This Row],[y-h]]^2</f>
        <v>2.0093393011182547E+17</v>
      </c>
      <c r="F30" s="5">
        <f>Таблица3[[#This Row],[Сбербанк-цена]]^2</f>
        <v>9773.2996000000003</v>
      </c>
      <c r="G30" s="5">
        <f>Таблица3[[#This Row],[Сбербанк-цена]]*Таблица3[[#This Row],[Сбербанк-объем]]</f>
        <v>167220709308.79999</v>
      </c>
    </row>
    <row r="31" spans="1:7" x14ac:dyDescent="0.2">
      <c r="A31" s="3">
        <v>99.05</v>
      </c>
      <c r="B31" s="4">
        <v>1514417130</v>
      </c>
      <c r="C31" s="5">
        <f>k1_*Таблица3[[#This Row],[Сбербанк-цена]]+k0</f>
        <v>2138004942.769949</v>
      </c>
      <c r="D31" s="5">
        <f>Таблица3[[#This Row],[Сбербанк-объем]]-Таблица3[[#This Row],[h=k1*x+k0]]</f>
        <v>-623587812.76994896</v>
      </c>
      <c r="E31" s="5">
        <f>Таблица3[[#This Row],[y-h]]^2</f>
        <v>3.888617602352089E+17</v>
      </c>
      <c r="F31" s="5">
        <f>Таблица3[[#This Row],[Сбербанк-цена]]^2</f>
        <v>9810.9025000000001</v>
      </c>
      <c r="G31" s="5">
        <f>Таблица3[[#This Row],[Сбербанк-цена]]*Таблица3[[#This Row],[Сбербанк-объем]]</f>
        <v>150003016726.5</v>
      </c>
    </row>
    <row r="32" spans="1:7" x14ac:dyDescent="0.2">
      <c r="A32" s="3">
        <v>99.11</v>
      </c>
      <c r="B32" s="4">
        <v>1576313810</v>
      </c>
      <c r="C32" s="5">
        <f>k1_*Таблица3[[#This Row],[Сбербанк-цена]]+k0</f>
        <v>2137454937.8634775</v>
      </c>
      <c r="D32" s="5">
        <f>Таблица3[[#This Row],[Сбербанк-объем]]-Таблица3[[#This Row],[h=k1*x+k0]]</f>
        <v>-561141127.86347747</v>
      </c>
      <c r="E32" s="5">
        <f>Таблица3[[#This Row],[y-h]]^2</f>
        <v>3.1487936537989555E+17</v>
      </c>
      <c r="F32" s="5">
        <f>Таблица3[[#This Row],[Сбербанк-цена]]^2</f>
        <v>9822.7921000000006</v>
      </c>
      <c r="G32" s="5">
        <f>Таблица3[[#This Row],[Сбербанк-цена]]*Таблица3[[#This Row],[Сбербанк-объем]]</f>
        <v>156228461709.10001</v>
      </c>
    </row>
    <row r="33" spans="1:13" x14ac:dyDescent="0.2">
      <c r="A33" s="3">
        <v>101.17</v>
      </c>
      <c r="B33" s="4">
        <v>1563416090</v>
      </c>
      <c r="C33" s="5">
        <f>k1_*Таблица3[[#This Row],[Сбербанк-цена]]+k0</f>
        <v>2118571436.0746293</v>
      </c>
      <c r="D33" s="5">
        <f>Таблица3[[#This Row],[Сбербанк-объем]]-Таблица3[[#This Row],[h=k1*x+k0]]</f>
        <v>-555155346.07462931</v>
      </c>
      <c r="E33" s="5">
        <f>Таблица3[[#This Row],[y-h]]^2</f>
        <v>3.0819745827524141E+17</v>
      </c>
      <c r="F33" s="5">
        <f>Таблица3[[#This Row],[Сбербанк-цена]]^2</f>
        <v>10235.368899999999</v>
      </c>
      <c r="G33" s="5">
        <f>Таблица3[[#This Row],[Сбербанк-цена]]*Таблица3[[#This Row],[Сбербанк-объем]]</f>
        <v>158170805825.29999</v>
      </c>
    </row>
    <row r="34" spans="1:13" x14ac:dyDescent="0.2">
      <c r="A34" s="3">
        <v>101.26</v>
      </c>
      <c r="B34" s="4">
        <v>1880909280</v>
      </c>
      <c r="C34" s="5">
        <f>k1_*Таблица3[[#This Row],[Сбербанк-цена]]+k0</f>
        <v>2117746428.7149224</v>
      </c>
      <c r="D34" s="5">
        <f>Таблица3[[#This Row],[Сбербанк-объем]]-Таблица3[[#This Row],[h=k1*x+k0]]</f>
        <v>-236837148.71492243</v>
      </c>
      <c r="E34" s="5">
        <f>Таблица3[[#This Row],[y-h]]^2</f>
        <v>5.609183501141428E+16</v>
      </c>
      <c r="F34" s="5">
        <f>Таблица3[[#This Row],[Сбербанк-цена]]^2</f>
        <v>10253.587600000001</v>
      </c>
      <c r="G34" s="5">
        <f>Таблица3[[#This Row],[Сбербанк-цена]]*Таблица3[[#This Row],[Сбербанк-объем]]</f>
        <v>190460873692.80002</v>
      </c>
    </row>
    <row r="35" spans="1:13" x14ac:dyDescent="0.2">
      <c r="A35" s="3">
        <v>102.74</v>
      </c>
      <c r="B35" s="4">
        <v>1935002670</v>
      </c>
      <c r="C35" s="5">
        <f>k1_*Таблица3[[#This Row],[Сбербанк-цена]]+k0</f>
        <v>2104179641.0219638</v>
      </c>
      <c r="D35" s="5">
        <f>Таблица3[[#This Row],[Сбербанк-объем]]-Таблица3[[#This Row],[h=k1*x+k0]]</f>
        <v>-169176971.02196383</v>
      </c>
      <c r="E35" s="5">
        <f>Таблица3[[#This Row],[y-h]]^2</f>
        <v>2.8620847524166392E+16</v>
      </c>
      <c r="F35" s="5">
        <f>Таблица3[[#This Row],[Сбербанк-цена]]^2</f>
        <v>10555.507599999999</v>
      </c>
      <c r="G35" s="5">
        <f>Таблица3[[#This Row],[Сбербанк-цена]]*Таблица3[[#This Row],[Сбербанк-объем]]</f>
        <v>198802174315.79999</v>
      </c>
    </row>
    <row r="36" spans="1:13" x14ac:dyDescent="0.2">
      <c r="A36" s="3">
        <v>102.9</v>
      </c>
      <c r="B36" s="4">
        <v>2286927960</v>
      </c>
      <c r="C36" s="5">
        <f>k1_*Таблица3[[#This Row],[Сбербанк-цена]]+k0</f>
        <v>2102712961.2713735</v>
      </c>
      <c r="D36" s="5">
        <f>Таблица3[[#This Row],[Сбербанк-объем]]-Таблица3[[#This Row],[h=k1*x+k0]]</f>
        <v>184214998.72862649</v>
      </c>
      <c r="E36" s="5">
        <f>Таблица3[[#This Row],[y-h]]^2</f>
        <v>3.393516575658786E+16</v>
      </c>
      <c r="F36" s="5">
        <f>Таблица3[[#This Row],[Сбербанк-цена]]^2</f>
        <v>10588.410000000002</v>
      </c>
      <c r="G36" s="5">
        <f>Таблица3[[#This Row],[Сбербанк-цена]]*Таблица3[[#This Row],[Сбербанк-объем]]</f>
        <v>235324887084</v>
      </c>
      <c r="I36" t="s">
        <v>9</v>
      </c>
      <c r="J36" t="s">
        <v>10</v>
      </c>
      <c r="K36" t="s">
        <v>11</v>
      </c>
    </row>
    <row r="37" spans="1:13" x14ac:dyDescent="0.2">
      <c r="A37" s="3">
        <v>103.07</v>
      </c>
      <c r="B37" s="4">
        <v>1659044880</v>
      </c>
      <c r="C37" s="5">
        <f>k1_*Таблица3[[#This Row],[Сбербанк-цена]]+k0</f>
        <v>2101154614.0363717</v>
      </c>
      <c r="D37" s="5">
        <f>Таблица3[[#This Row],[Сбербанк-объем]]-Таблица3[[#This Row],[h=k1*x+k0]]</f>
        <v>-442109734.03637171</v>
      </c>
      <c r="E37" s="5">
        <f>Таблица3[[#This Row],[y-h]]^2</f>
        <v>1.9546101692971133E+17</v>
      </c>
      <c r="F37" s="5">
        <f>Таблица3[[#This Row],[Сбербанк-цена]]^2</f>
        <v>10623.424899999998</v>
      </c>
      <c r="G37" s="5">
        <f>Таблица3[[#This Row],[Сбербанк-цена]]*Таблица3[[#This Row],[Сбербанк-объем]]</f>
        <v>170997755781.59998</v>
      </c>
      <c r="I37" s="5">
        <f>Таблица3[[#Totals],[x^2]]</f>
        <v>2526861.3566999994</v>
      </c>
      <c r="J37" s="5">
        <f>Таблица3[[#Totals],[Сбербанк-цена]]</f>
        <v>14229.27</v>
      </c>
      <c r="K37" s="5">
        <f>Таблица3[[#Totals],[x*y]]</f>
        <v>20178846716892.094</v>
      </c>
    </row>
    <row r="38" spans="1:13" x14ac:dyDescent="0.2">
      <c r="A38" s="3">
        <v>104.57</v>
      </c>
      <c r="B38" s="4">
        <v>1612212000</v>
      </c>
      <c r="C38" s="5">
        <f>k1_*Таблица3[[#This Row],[Сбербанк-цена]]+k0</f>
        <v>2087404491.374589</v>
      </c>
      <c r="D38" s="5">
        <f>Таблица3[[#This Row],[Сбербанк-объем]]-Таблица3[[#This Row],[h=k1*x+k0]]</f>
        <v>-475192491.37458897</v>
      </c>
      <c r="E38" s="5">
        <f>Таблица3[[#This Row],[y-h]]^2</f>
        <v>2.258079038587888E+17</v>
      </c>
      <c r="F38" s="5">
        <f>Таблица3[[#This Row],[Сбербанк-цена]]^2</f>
        <v>10934.884899999999</v>
      </c>
      <c r="G38" s="5">
        <f>Таблица3[[#This Row],[Сбербанк-цена]]*Таблица3[[#This Row],[Сбербанк-объем]]</f>
        <v>168589008840</v>
      </c>
      <c r="I38" s="5">
        <f>Таблица3[[#Totals],[Сбербанк-цена]]</f>
        <v>14229.27</v>
      </c>
      <c r="J38">
        <f>COUNT(Таблица3[Сбербанк-цена])</f>
        <v>94</v>
      </c>
      <c r="K38" s="5">
        <f>Таблица3[[#Totals],[Сбербанк-объем]]</f>
        <v>155885170740</v>
      </c>
    </row>
    <row r="39" spans="1:13" x14ac:dyDescent="0.2">
      <c r="A39" s="3">
        <v>107</v>
      </c>
      <c r="B39" s="4">
        <v>2184006710</v>
      </c>
      <c r="C39" s="5">
        <f>k1_*Таблица3[[#This Row],[Сбербанк-цена]]+k0</f>
        <v>2065129292.6625013</v>
      </c>
      <c r="D39" s="5">
        <f>Таблица3[[#This Row],[Сбербанк-объем]]-Таблица3[[#This Row],[h=k1*x+k0]]</f>
        <v>118877417.33749866</v>
      </c>
      <c r="E39" s="5">
        <f>Таблица3[[#This Row],[y-h]]^2</f>
        <v>1.4131840352833828E+16</v>
      </c>
      <c r="F39" s="5">
        <f>Таблица3[[#This Row],[Сбербанк-цена]]^2</f>
        <v>11449</v>
      </c>
      <c r="G39" s="5">
        <f>Таблица3[[#This Row],[Сбербанк-цена]]*Таблица3[[#This Row],[Сбербанк-объем]]</f>
        <v>233688717970</v>
      </c>
    </row>
    <row r="40" spans="1:13" x14ac:dyDescent="0.2">
      <c r="A40" s="3">
        <v>109.59</v>
      </c>
      <c r="B40" s="4">
        <v>1723351580</v>
      </c>
      <c r="C40" s="5">
        <f>k1_*Таблица3[[#This Row],[Сбербанк-цена]]+k0</f>
        <v>2041387414.1998234</v>
      </c>
      <c r="D40" s="5">
        <f>Таблица3[[#This Row],[Сбербанк-объем]]-Таблица3[[#This Row],[h=k1*x+k0]]</f>
        <v>-318035834.19982338</v>
      </c>
      <c r="E40" s="5">
        <f>Таблица3[[#This Row],[y-h]]^2</f>
        <v>1.0114679183517755E+17</v>
      </c>
      <c r="F40" s="5">
        <f>Таблица3[[#This Row],[Сбербанк-цена]]^2</f>
        <v>12009.9681</v>
      </c>
      <c r="G40" s="5">
        <f>Таблица3[[#This Row],[Сбербанк-цена]]*Таблица3[[#This Row],[Сбербанк-объем]]</f>
        <v>188862099652.20001</v>
      </c>
    </row>
    <row r="41" spans="1:13" x14ac:dyDescent="0.2">
      <c r="A41" s="3">
        <v>109.9</v>
      </c>
      <c r="B41" s="4">
        <v>1959737430</v>
      </c>
      <c r="C41" s="5">
        <f>k1_*Таблица3[[#This Row],[Сбербанк-цена]]+k0</f>
        <v>2038545722.1830549</v>
      </c>
      <c r="D41" s="5">
        <f>Таблица3[[#This Row],[Сбербанк-объем]]-Таблица3[[#This Row],[h=k1*x+k0]]</f>
        <v>-78808292.183054924</v>
      </c>
      <c r="E41" s="5">
        <f>Таблица3[[#This Row],[y-h]]^2</f>
        <v>6210746916809756</v>
      </c>
      <c r="F41" s="5">
        <f>Таблица3[[#This Row],[Сбербанк-цена]]^2</f>
        <v>12078.010000000002</v>
      </c>
      <c r="G41" s="5">
        <f>Таблица3[[#This Row],[Сбербанк-цена]]*Таблица3[[#This Row],[Сбербанк-объем]]</f>
        <v>215375143557</v>
      </c>
    </row>
    <row r="42" spans="1:13" x14ac:dyDescent="0.2">
      <c r="A42" s="3">
        <v>123.55</v>
      </c>
      <c r="B42" s="4">
        <v>2125196160</v>
      </c>
      <c r="C42" s="5">
        <f>k1_*Таблица3[[#This Row],[Сбербанк-цена]]+k0</f>
        <v>1913419605.960834</v>
      </c>
      <c r="D42" s="5">
        <f>Таблица3[[#This Row],[Сбербанк-объем]]-Таблица3[[#This Row],[h=k1*x+k0]]</f>
        <v>211776554.03916597</v>
      </c>
      <c r="E42" s="5">
        <f>Таблица3[[#This Row],[y-h]]^2</f>
        <v>4.4849308840703784E+16</v>
      </c>
      <c r="F42" s="5">
        <f>Таблица3[[#This Row],[Сбербанк-цена]]^2</f>
        <v>15264.602499999999</v>
      </c>
      <c r="G42" s="5">
        <f>Таблица3[[#This Row],[Сбербанк-цена]]*Таблица3[[#This Row],[Сбербанк-объем]]</f>
        <v>262567985568</v>
      </c>
      <c r="I42">
        <f>MMULT(MINVERSE(I37:J38),K37:K38)</f>
        <v>-9166748.4411883578</v>
      </c>
    </row>
    <row r="43" spans="1:13" x14ac:dyDescent="0.2">
      <c r="A43" s="3">
        <v>132.56</v>
      </c>
      <c r="B43" s="4">
        <v>1387771330</v>
      </c>
      <c r="C43" s="5">
        <f>k1_*Таблица3[[#This Row],[Сбербанк-цена]]+k0</f>
        <v>1830827202.5057268</v>
      </c>
      <c r="D43" s="5">
        <f>Таблица3[[#This Row],[Сбербанк-объем]]-Таблица3[[#This Row],[h=k1*x+k0]]</f>
        <v>-443055872.50572681</v>
      </c>
      <c r="E43" s="5">
        <f>Таблица3[[#This Row],[y-h]]^2</f>
        <v>1.9629850616181085E+17</v>
      </c>
      <c r="F43" s="5">
        <f>Таблица3[[#This Row],[Сбербанк-цена]]^2</f>
        <v>17572.153600000001</v>
      </c>
      <c r="G43" s="5">
        <f>Таблица3[[#This Row],[Сбербанк-цена]]*Таблица3[[#This Row],[Сбербанк-объем]]</f>
        <v>183962967504.80002</v>
      </c>
      <c r="I43">
        <f>J63</f>
        <v>3045971375.8696556</v>
      </c>
    </row>
    <row r="44" spans="1:13" x14ac:dyDescent="0.2">
      <c r="A44" s="3">
        <v>133</v>
      </c>
      <c r="B44" s="4">
        <v>1550840130</v>
      </c>
      <c r="C44" s="5">
        <f>k1_*Таблица3[[#This Row],[Сбербанк-цена]]+k0</f>
        <v>1826793833.1916041</v>
      </c>
      <c r="D44" s="5">
        <f>Таблица3[[#This Row],[Сбербанк-объем]]-Таблица3[[#This Row],[h=k1*x+k0]]</f>
        <v>-275953703.19160414</v>
      </c>
      <c r="E44" s="5">
        <f>Таблица3[[#This Row],[y-h]]^2</f>
        <v>7.6150446305159952E+16</v>
      </c>
      <c r="F44" s="5">
        <f>Таблица3[[#This Row],[Сбербанк-цена]]^2</f>
        <v>17689</v>
      </c>
      <c r="G44" s="5">
        <f>Таблица3[[#This Row],[Сбербанк-цена]]*Таблица3[[#This Row],[Сбербанк-объем]]</f>
        <v>206261737290</v>
      </c>
      <c r="M44" s="5"/>
    </row>
    <row r="45" spans="1:13" x14ac:dyDescent="0.2">
      <c r="A45" s="3">
        <v>139.15</v>
      </c>
      <c r="B45" s="4">
        <v>1224653180</v>
      </c>
      <c r="C45" s="5">
        <f>k1_*Таблица3[[#This Row],[Сбербанк-цена]]+k0</f>
        <v>1770418330.2782955</v>
      </c>
      <c r="D45" s="5">
        <f>Таблица3[[#This Row],[Сбербанк-объем]]-Таблица3[[#This Row],[h=k1*x+k0]]</f>
        <v>-545765150.27829552</v>
      </c>
      <c r="E45" s="5">
        <f>Таблица3[[#This Row],[y-h]]^2</f>
        <v>2.978595992582905E+17</v>
      </c>
      <c r="F45" s="5">
        <f>Таблица3[[#This Row],[Сбербанк-цена]]^2</f>
        <v>19362.7225</v>
      </c>
      <c r="G45" s="5">
        <f>Таблица3[[#This Row],[Сбербанк-цена]]*Таблица3[[#This Row],[Сбербанк-объем]]</f>
        <v>170410489997</v>
      </c>
    </row>
    <row r="46" spans="1:13" x14ac:dyDescent="0.2">
      <c r="A46" s="3">
        <v>143.5</v>
      </c>
      <c r="B46" s="4">
        <v>1150874110</v>
      </c>
      <c r="C46" s="5">
        <f>k1_*Таблица3[[#This Row],[Сбербанк-цена]]+k0</f>
        <v>1730542974.5591264</v>
      </c>
      <c r="D46" s="5">
        <f>Таблица3[[#This Row],[Сбербанк-объем]]-Таблица3[[#This Row],[h=k1*x+k0]]</f>
        <v>-579668864.55912638</v>
      </c>
      <c r="E46" s="5">
        <f>Таблица3[[#This Row],[y-h]]^2</f>
        <v>3.3601599253926682E+17</v>
      </c>
      <c r="F46" s="5">
        <f>Таблица3[[#This Row],[Сбербанк-цена]]^2</f>
        <v>20592.25</v>
      </c>
      <c r="G46" s="5">
        <f>Таблица3[[#This Row],[Сбербанк-цена]]*Таблица3[[#This Row],[Сбербанк-объем]]</f>
        <v>165150434785</v>
      </c>
    </row>
    <row r="47" spans="1:13" x14ac:dyDescent="0.2">
      <c r="A47" s="3">
        <v>145.34</v>
      </c>
      <c r="B47" s="4">
        <v>1118608200</v>
      </c>
      <c r="C47" s="5">
        <f>k1_*Таблица3[[#This Row],[Сбербанк-цена]]+k0</f>
        <v>1713676157.4273396</v>
      </c>
      <c r="D47" s="5">
        <f>Таблица3[[#This Row],[Сбербанк-объем]]-Таблица3[[#This Row],[h=k1*x+k0]]</f>
        <v>-595067957.42733955</v>
      </c>
      <c r="E47" s="5">
        <f>Таблица3[[#This Row],[y-h]]^2</f>
        <v>3.5410587395674598E+17</v>
      </c>
      <c r="F47" s="5">
        <f>Таблица3[[#This Row],[Сбербанк-цена]]^2</f>
        <v>21123.7156</v>
      </c>
      <c r="G47" s="5">
        <f>Таблица3[[#This Row],[Сбербанк-цена]]*Таблица3[[#This Row],[Сбербанк-объем]]</f>
        <v>162578515788</v>
      </c>
      <c r="I47" t="s">
        <v>12</v>
      </c>
    </row>
    <row r="48" spans="1:13" ht="17" thickBot="1" x14ac:dyDescent="0.25">
      <c r="A48" s="3">
        <v>145.59</v>
      </c>
      <c r="B48" s="4">
        <v>1249106940</v>
      </c>
      <c r="C48" s="5">
        <f>k1_*Таблица3[[#This Row],[Сбербанк-цена]]+k0</f>
        <v>1711384470.3170426</v>
      </c>
      <c r="D48" s="5">
        <f>Таблица3[[#This Row],[Сбербанк-объем]]-Таблица3[[#This Row],[h=k1*x+k0]]</f>
        <v>-462277530.31704259</v>
      </c>
      <c r="E48" s="5">
        <f>Таблица3[[#This Row],[y-h]]^2</f>
        <v>2.1370051503602422E+17</v>
      </c>
      <c r="F48" s="5">
        <f>Таблица3[[#This Row],[Сбербанк-цена]]^2</f>
        <v>21196.448100000001</v>
      </c>
      <c r="G48" s="5">
        <f>Таблица3[[#This Row],[Сбербанк-цена]]*Таблица3[[#This Row],[Сбербанк-объем]]</f>
        <v>181857479394.60001</v>
      </c>
    </row>
    <row r="49" spans="1:17" x14ac:dyDescent="0.2">
      <c r="A49" s="3">
        <v>147.4</v>
      </c>
      <c r="B49" s="4">
        <v>777345030</v>
      </c>
      <c r="C49" s="5">
        <f>k1_*Таблица3[[#This Row],[Сбербанк-цена]]+k0</f>
        <v>1694792655.6384916</v>
      </c>
      <c r="D49" s="5">
        <f>Таблица3[[#This Row],[Сбербанк-объем]]-Таблица3[[#This Row],[h=k1*x+k0]]</f>
        <v>-917447625.63849163</v>
      </c>
      <c r="E49" s="5">
        <f>Таблица3[[#This Row],[y-h]]^2</f>
        <v>8.4171014578970586E+17</v>
      </c>
      <c r="F49" s="5">
        <f>Таблица3[[#This Row],[Сбербанк-цена]]^2</f>
        <v>21726.760000000002</v>
      </c>
      <c r="G49" s="5">
        <f>Таблица3[[#This Row],[Сбербанк-цена]]*Таблица3[[#This Row],[Сбербанк-объем]]</f>
        <v>114580657422</v>
      </c>
      <c r="I49" s="11" t="s">
        <v>13</v>
      </c>
      <c r="J49" s="11"/>
    </row>
    <row r="50" spans="1:17" x14ac:dyDescent="0.2">
      <c r="A50" s="3">
        <v>155.93</v>
      </c>
      <c r="B50" s="4">
        <v>825457660</v>
      </c>
      <c r="C50" s="5">
        <f>k1_*Таблица3[[#This Row],[Сбербанк-цена]]+k0</f>
        <v>1616600291.4351549</v>
      </c>
      <c r="D50" s="5">
        <f>Таблица3[[#This Row],[Сбербанк-объем]]-Таблица3[[#This Row],[h=k1*x+k0]]</f>
        <v>-791142631.43515491</v>
      </c>
      <c r="E50" s="5">
        <f>Таблица3[[#This Row],[y-h]]^2</f>
        <v>6.2590666327414131E+17</v>
      </c>
      <c r="F50" s="5">
        <f>Таблица3[[#This Row],[Сбербанк-цена]]^2</f>
        <v>24314.164900000003</v>
      </c>
      <c r="G50" s="5">
        <f>Таблица3[[#This Row],[Сбербанк-цена]]*Таблица3[[#This Row],[Сбербанк-объем]]</f>
        <v>128713612923.8</v>
      </c>
      <c r="I50" s="8" t="s">
        <v>14</v>
      </c>
      <c r="J50" s="8">
        <v>0.67712511448216628</v>
      </c>
    </row>
    <row r="51" spans="1:17" x14ac:dyDescent="0.2">
      <c r="A51" s="3">
        <v>156</v>
      </c>
      <c r="B51" s="4">
        <v>817013500</v>
      </c>
      <c r="C51" s="5">
        <f>k1_*Таблица3[[#This Row],[Сбербанк-цена]]+k0</f>
        <v>1615958619.0442717</v>
      </c>
      <c r="D51" s="5">
        <f>Таблица3[[#This Row],[Сбербанк-объем]]-Таблица3[[#This Row],[h=k1*x+k0]]</f>
        <v>-798945119.04427171</v>
      </c>
      <c r="E51" s="5">
        <f>Таблица3[[#This Row],[y-h]]^2</f>
        <v>6.3831330324466547E+17</v>
      </c>
      <c r="F51" s="5">
        <f>Таблица3[[#This Row],[Сбербанк-цена]]^2</f>
        <v>24336</v>
      </c>
      <c r="G51" s="5">
        <f>Таблица3[[#This Row],[Сбербанк-цена]]*Таблица3[[#This Row],[Сбербанк-объем]]</f>
        <v>127454106000</v>
      </c>
      <c r="I51" s="8" t="s">
        <v>15</v>
      </c>
      <c r="J51" s="8">
        <v>0.45849842066248675</v>
      </c>
    </row>
    <row r="52" spans="1:17" x14ac:dyDescent="0.2">
      <c r="A52" s="3">
        <v>158.69999999999999</v>
      </c>
      <c r="B52" s="4">
        <v>1113951960</v>
      </c>
      <c r="C52" s="5">
        <f>k1_*Таблица3[[#This Row],[Сбербанк-цена]]+k0</f>
        <v>1591208398.2530634</v>
      </c>
      <c r="D52" s="5">
        <f>Таблица3[[#This Row],[Сбербанк-объем]]-Таблица3[[#This Row],[h=k1*x+k0]]</f>
        <v>-477256438.25306344</v>
      </c>
      <c r="E52" s="5">
        <f>Таблица3[[#This Row],[y-h]]^2</f>
        <v>2.2777370785400016E+17</v>
      </c>
      <c r="F52" s="5">
        <f>Таблица3[[#This Row],[Сбербанк-цена]]^2</f>
        <v>25185.689999999995</v>
      </c>
      <c r="G52" s="5">
        <f>Таблица3[[#This Row],[Сбербанк-цена]]*Таблица3[[#This Row],[Сбербанк-объем]]</f>
        <v>176784176052</v>
      </c>
      <c r="I52" s="8" t="s">
        <v>16</v>
      </c>
      <c r="J52" s="8">
        <v>0.45261253393055728</v>
      </c>
    </row>
    <row r="53" spans="1:17" x14ac:dyDescent="0.2">
      <c r="A53" s="3">
        <v>159.80000000000001</v>
      </c>
      <c r="B53" s="4">
        <v>980688220</v>
      </c>
      <c r="C53" s="5">
        <f>k1_*Таблица3[[#This Row],[Сбербанк-цена]]+k0</f>
        <v>1581124974.967756</v>
      </c>
      <c r="D53" s="5">
        <f>Таблица3[[#This Row],[Сбербанк-объем]]-Таблица3[[#This Row],[h=k1*x+k0]]</f>
        <v>-600436754.96775603</v>
      </c>
      <c r="E53" s="5">
        <f>Таблица3[[#This Row],[y-h]]^2</f>
        <v>3.6052429671620909E+17</v>
      </c>
      <c r="F53" s="5">
        <f>Таблица3[[#This Row],[Сбербанк-цена]]^2</f>
        <v>25536.040000000005</v>
      </c>
      <c r="G53" s="5">
        <f>Таблица3[[#This Row],[Сбербанк-цена]]*Таблица3[[#This Row],[Сбербанк-объем]]</f>
        <v>156713977556</v>
      </c>
      <c r="I53" s="8" t="s">
        <v>17</v>
      </c>
      <c r="J53" s="8">
        <v>634234755.45837009</v>
      </c>
    </row>
    <row r="54" spans="1:17" ht="17" thickBot="1" x14ac:dyDescent="0.25">
      <c r="A54" s="3">
        <v>164.53</v>
      </c>
      <c r="B54" s="4">
        <v>1056892340</v>
      </c>
      <c r="C54" s="5">
        <f>k1_*Таблица3[[#This Row],[Сбербанк-цена]]+k0</f>
        <v>1537766254.840935</v>
      </c>
      <c r="D54" s="5">
        <f>Таблица3[[#This Row],[Сбербанк-объем]]-Таблица3[[#This Row],[h=k1*x+k0]]</f>
        <v>-480873914.84093499</v>
      </c>
      <c r="E54" s="5">
        <f>Таблица3[[#This Row],[y-h]]^2</f>
        <v>2.3123972197444678E+17</v>
      </c>
      <c r="F54" s="5">
        <f>Таблица3[[#This Row],[Сбербанк-цена]]^2</f>
        <v>27070.120900000002</v>
      </c>
      <c r="G54" s="5">
        <f>Таблица3[[#This Row],[Сбербанк-цена]]*Таблица3[[#This Row],[Сбербанк-объем]]</f>
        <v>173890496700.20001</v>
      </c>
      <c r="I54" s="9" t="s">
        <v>18</v>
      </c>
      <c r="J54" s="9">
        <v>94</v>
      </c>
    </row>
    <row r="55" spans="1:17" x14ac:dyDescent="0.2">
      <c r="A55" s="3">
        <v>165.2</v>
      </c>
      <c r="B55" s="4">
        <v>965518550</v>
      </c>
      <c r="C55" s="5">
        <f>k1_*Таблица3[[#This Row],[Сбербанк-цена]]+k0</f>
        <v>1531624533.385339</v>
      </c>
      <c r="D55" s="5">
        <f>Таблица3[[#This Row],[Сбербанк-объем]]-Таблица3[[#This Row],[h=k1*x+k0]]</f>
        <v>-566105983.38533902</v>
      </c>
      <c r="E55" s="5">
        <f>Таблица3[[#This Row],[y-h]]^2</f>
        <v>3.2047598442468173E+17</v>
      </c>
      <c r="F55" s="5">
        <f>Таблица3[[#This Row],[Сбербанк-цена]]^2</f>
        <v>27291.039999999997</v>
      </c>
      <c r="G55" s="5">
        <f>Таблица3[[#This Row],[Сбербанк-цена]]*Таблица3[[#This Row],[Сбербанк-объем]]</f>
        <v>159503664460</v>
      </c>
    </row>
    <row r="56" spans="1:17" ht="17" thickBot="1" x14ac:dyDescent="0.25">
      <c r="A56" s="3">
        <v>172.2</v>
      </c>
      <c r="B56" s="4">
        <v>989614480</v>
      </c>
      <c r="C56" s="5">
        <f>k1_*Таблица3[[#This Row],[Сбербанк-цена]]+k0</f>
        <v>1467457294.2970204</v>
      </c>
      <c r="D56" s="5">
        <f>Таблица3[[#This Row],[Сбербанк-объем]]-Таблица3[[#This Row],[h=k1*x+k0]]</f>
        <v>-477842814.29702044</v>
      </c>
      <c r="E56" s="5">
        <f>Таблица3[[#This Row],[y-h]]^2</f>
        <v>2.2833375517529677E+17</v>
      </c>
      <c r="F56" s="5">
        <f>Таблица3[[#This Row],[Сбербанк-цена]]^2</f>
        <v>29652.839999999997</v>
      </c>
      <c r="G56" s="5">
        <f>Таблица3[[#This Row],[Сбербанк-цена]]*Таблица3[[#This Row],[Сбербанк-объем]]</f>
        <v>170411613456</v>
      </c>
      <c r="I56" t="s">
        <v>19</v>
      </c>
    </row>
    <row r="57" spans="1:17" x14ac:dyDescent="0.2">
      <c r="A57" s="3">
        <v>173.25</v>
      </c>
      <c r="B57" s="4">
        <v>1204467020</v>
      </c>
      <c r="C57" s="5">
        <f>k1_*Таблица3[[#This Row],[Сбербанк-цена]]+k0</f>
        <v>1457832208.4337726</v>
      </c>
      <c r="D57" s="5">
        <f>Таблица3[[#This Row],[Сбербанк-объем]]-Таблица3[[#This Row],[h=k1*x+k0]]</f>
        <v>-253365188.43377256</v>
      </c>
      <c r="E57" s="5">
        <f>Таблица3[[#This Row],[y-h]]^2</f>
        <v>6.419391871008108E+16</v>
      </c>
      <c r="F57" s="5">
        <f>Таблица3[[#This Row],[Сбербанк-цена]]^2</f>
        <v>30015.5625</v>
      </c>
      <c r="G57" s="5">
        <f>Таблица3[[#This Row],[Сбербанк-цена]]*Таблица3[[#This Row],[Сбербанк-объем]]</f>
        <v>208673911215</v>
      </c>
      <c r="I57" s="10"/>
      <c r="J57" s="10" t="s">
        <v>24</v>
      </c>
      <c r="K57" s="10" t="s">
        <v>25</v>
      </c>
      <c r="L57" s="10" t="s">
        <v>26</v>
      </c>
      <c r="M57" s="10" t="s">
        <v>27</v>
      </c>
      <c r="N57" s="10" t="s">
        <v>28</v>
      </c>
    </row>
    <row r="58" spans="1:17" x14ac:dyDescent="0.2">
      <c r="A58" s="3">
        <v>182</v>
      </c>
      <c r="B58" s="4">
        <v>1774159080</v>
      </c>
      <c r="C58" s="5">
        <f>k1_*Таблица3[[#This Row],[Сбербанк-цена]]+k0</f>
        <v>1377623159.5733745</v>
      </c>
      <c r="D58" s="5">
        <f>Таблица3[[#This Row],[Сбербанк-объем]]-Таблица3[[#This Row],[h=k1*x+k0]]</f>
        <v>396535920.42662549</v>
      </c>
      <c r="E58" s="5">
        <f>Таблица3[[#This Row],[y-h]]^2</f>
        <v>1.5724073618859107E+17</v>
      </c>
      <c r="F58" s="5">
        <f>Таблица3[[#This Row],[Сбербанк-цена]]^2</f>
        <v>33124</v>
      </c>
      <c r="G58" s="5">
        <f>Таблица3[[#This Row],[Сбербанк-цена]]*Таблица3[[#This Row],[Сбербанк-объем]]</f>
        <v>322896952560</v>
      </c>
      <c r="I58" s="8" t="s">
        <v>20</v>
      </c>
      <c r="J58" s="8">
        <v>1</v>
      </c>
      <c r="K58" s="8">
        <v>3.1334734430407705E+19</v>
      </c>
      <c r="L58" s="8">
        <v>3.1334734430407705E+19</v>
      </c>
      <c r="M58" s="8">
        <v>77.897934762360492</v>
      </c>
      <c r="N58" s="8">
        <v>6.7373015992449662E-14</v>
      </c>
    </row>
    <row r="59" spans="1:17" x14ac:dyDescent="0.2">
      <c r="A59" s="3">
        <v>183.51</v>
      </c>
      <c r="B59" s="4">
        <v>1066034430</v>
      </c>
      <c r="C59" s="5">
        <f>k1_*Таблица3[[#This Row],[Сбербанк-цена]]+k0</f>
        <v>1363781369.4271801</v>
      </c>
      <c r="D59" s="5">
        <f>Таблица3[[#This Row],[Сбербанк-объем]]-Таблица3[[#This Row],[h=k1*x+k0]]</f>
        <v>-297746939.42718005</v>
      </c>
      <c r="E59" s="5">
        <f>Таблица3[[#This Row],[y-h]]^2</f>
        <v>8.8653239938252832E+16</v>
      </c>
      <c r="F59" s="5">
        <f>Таблица3[[#This Row],[Сбербанк-цена]]^2</f>
        <v>33675.920099999996</v>
      </c>
      <c r="G59" s="5">
        <f>Таблица3[[#This Row],[Сбербанк-цена]]*Таблица3[[#This Row],[Сбербанк-объем]]</f>
        <v>195627978249.29999</v>
      </c>
      <c r="I59" s="8" t="s">
        <v>21</v>
      </c>
      <c r="J59" s="8">
        <v>92</v>
      </c>
      <c r="K59" s="8">
        <v>3.7007342702883144E+19</v>
      </c>
      <c r="L59" s="8">
        <v>4.022537250313385E+17</v>
      </c>
      <c r="M59" s="8"/>
      <c r="N59" s="8"/>
    </row>
    <row r="60" spans="1:17" ht="17" thickBot="1" x14ac:dyDescent="0.25">
      <c r="A60" s="3">
        <v>186.3</v>
      </c>
      <c r="B60" s="4">
        <v>1147560770</v>
      </c>
      <c r="C60" s="5">
        <f>k1_*Таблица3[[#This Row],[Сбербанк-цена]]+k0</f>
        <v>1338206141.2762644</v>
      </c>
      <c r="D60" s="5">
        <f>Таблица3[[#This Row],[Сбербанк-объем]]-Таблица3[[#This Row],[h=k1*x+k0]]</f>
        <v>-190645371.27626443</v>
      </c>
      <c r="E60" s="5">
        <f>Таблица3[[#This Row],[y-h]]^2</f>
        <v>3.6345657589064712E+16</v>
      </c>
      <c r="F60" s="5">
        <f>Таблица3[[#This Row],[Сбербанк-цена]]^2</f>
        <v>34707.69</v>
      </c>
      <c r="G60" s="5">
        <f>Таблица3[[#This Row],[Сбербанк-цена]]*Таблица3[[#This Row],[Сбербанк-объем]]</f>
        <v>213790571451</v>
      </c>
      <c r="I60" s="9" t="s">
        <v>22</v>
      </c>
      <c r="J60" s="9">
        <v>93</v>
      </c>
      <c r="K60" s="9">
        <v>6.8342077133290848E+19</v>
      </c>
      <c r="L60" s="9"/>
      <c r="M60" s="9"/>
      <c r="N60" s="9"/>
    </row>
    <row r="61" spans="1:17" ht="17" thickBot="1" x14ac:dyDescent="0.25">
      <c r="A61" s="3">
        <v>187.21</v>
      </c>
      <c r="B61" s="4">
        <v>3001736660</v>
      </c>
      <c r="C61" s="5">
        <f>k1_*Таблица3[[#This Row],[Сбербанк-цена]]+k0</f>
        <v>1329864400.194783</v>
      </c>
      <c r="D61" s="5">
        <f>Таблица3[[#This Row],[Сбербанк-объем]]-Таблица3[[#This Row],[h=k1*x+k0]]</f>
        <v>1671872259.805217</v>
      </c>
      <c r="E61" s="5">
        <f>Таблица3[[#This Row],[y-h]]^2</f>
        <v>2.7951568531062031E+18</v>
      </c>
      <c r="F61" s="5">
        <f>Таблица3[[#This Row],[Сбербанк-цена]]^2</f>
        <v>35047.5841</v>
      </c>
      <c r="G61" s="5">
        <f>Таблица3[[#This Row],[Сбербанк-цена]]*Таблица3[[#This Row],[Сбербанк-объем]]</f>
        <v>561955120118.59998</v>
      </c>
    </row>
    <row r="62" spans="1:17" x14ac:dyDescent="0.2">
      <c r="A62" s="3">
        <v>189.8</v>
      </c>
      <c r="B62" s="4">
        <v>1809539820</v>
      </c>
      <c r="C62" s="5">
        <f>k1_*Таблица3[[#This Row],[Сбербанк-цена]]+k0</f>
        <v>1306122521.7321053</v>
      </c>
      <c r="D62" s="5">
        <f>Таблица3[[#This Row],[Сбербанк-объем]]-Таблица3[[#This Row],[h=k1*x+k0]]</f>
        <v>503417298.26789474</v>
      </c>
      <c r="E62" s="5">
        <f>Таблица3[[#This Row],[y-h]]^2</f>
        <v>2.534289761953465E+17</v>
      </c>
      <c r="F62" s="5">
        <f>Таблица3[[#This Row],[Сбербанк-цена]]^2</f>
        <v>36024.04</v>
      </c>
      <c r="G62" s="5">
        <f>Таблица3[[#This Row],[Сбербанк-цена]]*Таблица3[[#This Row],[Сбербанк-объем]]</f>
        <v>343450657836</v>
      </c>
      <c r="I62" s="10"/>
      <c r="J62" s="10" t="s">
        <v>29</v>
      </c>
      <c r="K62" s="10" t="s">
        <v>17</v>
      </c>
      <c r="L62" s="10" t="s">
        <v>30</v>
      </c>
      <c r="M62" s="10" t="s">
        <v>31</v>
      </c>
      <c r="N62" s="10" t="s">
        <v>32</v>
      </c>
      <c r="O62" s="10" t="s">
        <v>33</v>
      </c>
      <c r="P62" s="10" t="s">
        <v>34</v>
      </c>
      <c r="Q62" s="10" t="s">
        <v>35</v>
      </c>
    </row>
    <row r="63" spans="1:17" x14ac:dyDescent="0.2">
      <c r="A63" s="3">
        <v>192.33</v>
      </c>
      <c r="B63" s="4">
        <v>943835730</v>
      </c>
      <c r="C63" s="5">
        <f>k1_*Таблица3[[#This Row],[Сбербанк-цена]]+k0</f>
        <v>1282930648.1758986</v>
      </c>
      <c r="D63" s="5">
        <f>Таблица3[[#This Row],[Сбербанк-объем]]-Таблица3[[#This Row],[h=k1*x+k0]]</f>
        <v>-339094918.17589855</v>
      </c>
      <c r="E63" s="5">
        <f>Таблица3[[#This Row],[y-h]]^2</f>
        <v>1.1498536353271933E+17</v>
      </c>
      <c r="F63" s="5">
        <f>Таблица3[[#This Row],[Сбербанк-цена]]^2</f>
        <v>36990.828900000008</v>
      </c>
      <c r="G63" s="5">
        <f>Таблица3[[#This Row],[Сбербанк-цена]]*Таблица3[[#This Row],[Сбербанк-объем]]</f>
        <v>181527925950.90002</v>
      </c>
      <c r="I63" s="8" t="s">
        <v>23</v>
      </c>
      <c r="J63" s="8">
        <v>3045971375.8696556</v>
      </c>
      <c r="K63" s="8">
        <v>170286069.60317212</v>
      </c>
      <c r="L63" s="8">
        <v>17.887378474163306</v>
      </c>
      <c r="M63" s="8">
        <v>1.055399925080373E-31</v>
      </c>
      <c r="N63" s="8">
        <v>2707768543.0634079</v>
      </c>
      <c r="O63" s="8">
        <v>3384174208.6759033</v>
      </c>
      <c r="P63" s="8">
        <v>2707768543.0634079</v>
      </c>
      <c r="Q63" s="8">
        <v>3384174208.6759033</v>
      </c>
    </row>
    <row r="64" spans="1:17" ht="17" thickBot="1" x14ac:dyDescent="0.25">
      <c r="A64" s="3">
        <v>193.8</v>
      </c>
      <c r="B64" s="4">
        <v>745570010</v>
      </c>
      <c r="C64" s="5">
        <f>k1_*Таблица3[[#This Row],[Сбербанк-цена]]+k0</f>
        <v>1269455527.9673517</v>
      </c>
      <c r="D64" s="5">
        <f>Таблица3[[#This Row],[Сбербанк-объем]]-Таблица3[[#This Row],[h=k1*x+k0]]</f>
        <v>-523885517.96735168</v>
      </c>
      <c r="E64" s="5">
        <f>Таблица3[[#This Row],[y-h]]^2</f>
        <v>2.7445603593592035E+17</v>
      </c>
      <c r="F64" s="5">
        <f>Таблица3[[#This Row],[Сбербанк-цена]]^2</f>
        <v>37558.44</v>
      </c>
      <c r="G64" s="5">
        <f>Таблица3[[#This Row],[Сбербанк-цена]]*Таблица3[[#This Row],[Сбербанк-объем]]</f>
        <v>144491467938</v>
      </c>
      <c r="I64" s="9" t="s">
        <v>36</v>
      </c>
      <c r="J64" s="9">
        <v>-9166748.4411883149</v>
      </c>
      <c r="K64" s="9">
        <v>1038609.6214564497</v>
      </c>
      <c r="L64" s="9">
        <v>-8.8259806685920328</v>
      </c>
      <c r="M64" s="9">
        <v>6.7373015992454016E-14</v>
      </c>
      <c r="N64" s="9">
        <v>-11229516.799016763</v>
      </c>
      <c r="O64" s="9">
        <v>-7103980.0833598673</v>
      </c>
      <c r="P64" s="9">
        <v>-11229516.799016763</v>
      </c>
      <c r="Q64" s="9">
        <v>-7103980.0833598673</v>
      </c>
    </row>
    <row r="65" spans="1:15" x14ac:dyDescent="0.2">
      <c r="A65" s="3">
        <v>194</v>
      </c>
      <c r="B65" s="4">
        <v>1567568800</v>
      </c>
      <c r="C65" s="5">
        <f>k1_*Таблица3[[#This Row],[Сбербанк-цена]]+k0</f>
        <v>1267622178.2791142</v>
      </c>
      <c r="D65" s="5">
        <f>Таблица3[[#This Row],[Сбербанк-объем]]-Таблица3[[#This Row],[h=k1*x+k0]]</f>
        <v>299946621.72088575</v>
      </c>
      <c r="E65" s="5">
        <f>Таблица3[[#This Row],[y-h]]^2</f>
        <v>8.9967975881772128E+16</v>
      </c>
      <c r="F65" s="5">
        <f>Таблица3[[#This Row],[Сбербанк-цена]]^2</f>
        <v>37636</v>
      </c>
      <c r="G65" s="5">
        <f>Таблица3[[#This Row],[Сбербанк-цена]]*Таблица3[[#This Row],[Сбербанк-объем]]</f>
        <v>304108347200</v>
      </c>
    </row>
    <row r="66" spans="1:15" x14ac:dyDescent="0.2">
      <c r="A66" s="3">
        <v>197.25</v>
      </c>
      <c r="B66" s="4">
        <v>1768222700</v>
      </c>
      <c r="C66" s="5">
        <f>k1_*Таблица3[[#This Row],[Сбербанк-цена]]+k0</f>
        <v>1237830245.845252</v>
      </c>
      <c r="D66" s="5">
        <f>Таблица3[[#This Row],[Сбербанк-объем]]-Таблица3[[#This Row],[h=k1*x+k0]]</f>
        <v>530392454.15474796</v>
      </c>
      <c r="E66" s="5">
        <f>Таблица3[[#This Row],[y-h]]^2</f>
        <v>2.8131615542429642E+17</v>
      </c>
      <c r="F66" s="5">
        <f>Таблица3[[#This Row],[Сбербанк-цена]]^2</f>
        <v>38907.5625</v>
      </c>
      <c r="G66" s="5">
        <f>Таблица3[[#This Row],[Сбербанк-цена]]*Таблица3[[#This Row],[Сбербанк-объем]]</f>
        <v>348781927575</v>
      </c>
    </row>
    <row r="67" spans="1:15" x14ac:dyDescent="0.2">
      <c r="A67" s="3">
        <v>200.5</v>
      </c>
      <c r="B67" s="4">
        <v>1359045230</v>
      </c>
      <c r="C67" s="5">
        <f>k1_*Таблица3[[#This Row],[Сбербанк-цена]]+k0</f>
        <v>1208038313.4113898</v>
      </c>
      <c r="D67" s="5">
        <f>Таблица3[[#This Row],[Сбербанк-объем]]-Таблица3[[#This Row],[h=k1*x+k0]]</f>
        <v>151006916.58861017</v>
      </c>
      <c r="E67" s="5">
        <f>Таблица3[[#This Row],[y-h]]^2</f>
        <v>2.2803088857599472E+16</v>
      </c>
      <c r="F67" s="5">
        <f>Таблица3[[#This Row],[Сбербанк-цена]]^2</f>
        <v>40200.25</v>
      </c>
      <c r="G67" s="5">
        <f>Таблица3[[#This Row],[Сбербанк-цена]]*Таблица3[[#This Row],[Сбербанк-объем]]</f>
        <v>272488568615</v>
      </c>
    </row>
    <row r="68" spans="1:15" x14ac:dyDescent="0.2">
      <c r="A68" s="3">
        <v>203.22</v>
      </c>
      <c r="B68" s="4">
        <v>1522268370</v>
      </c>
      <c r="C68" s="5">
        <f>k1_*Таблица3[[#This Row],[Сбербанк-цена]]+k0</f>
        <v>1183104757.6513577</v>
      </c>
      <c r="D68" s="5">
        <f>Таблица3[[#This Row],[Сбербанк-объем]]-Таблица3[[#This Row],[h=k1*x+k0]]</f>
        <v>339163612.34864235</v>
      </c>
      <c r="E68" s="5">
        <f>Таблица3[[#This Row],[y-h]]^2</f>
        <v>1.1503195594138014E+17</v>
      </c>
      <c r="F68" s="5">
        <f>Таблица3[[#This Row],[Сбербанк-цена]]^2</f>
        <v>41298.368399999999</v>
      </c>
      <c r="G68" s="5">
        <f>Таблица3[[#This Row],[Сбербанк-цена]]*Таблица3[[#This Row],[Сбербанк-объем]]</f>
        <v>309355378151.40002</v>
      </c>
      <c r="I68" t="s">
        <v>37</v>
      </c>
      <c r="N68" t="s">
        <v>42</v>
      </c>
    </row>
    <row r="69" spans="1:15" ht="17" thickBot="1" x14ac:dyDescent="0.25">
      <c r="A69" s="3">
        <v>203.32</v>
      </c>
      <c r="B69" s="4">
        <v>1723030800</v>
      </c>
      <c r="C69" s="5">
        <f>k1_*Таблица3[[#This Row],[Сбербанк-цена]]+k0</f>
        <v>1182188082.8072388</v>
      </c>
      <c r="D69" s="5">
        <f>Таблица3[[#This Row],[Сбербанк-объем]]-Таблица3[[#This Row],[h=k1*x+k0]]</f>
        <v>540842717.19276118</v>
      </c>
      <c r="E69" s="5">
        <f>Таблица3[[#This Row],[y-h]]^2</f>
        <v>2.9251084474044902E+17</v>
      </c>
      <c r="F69" s="5">
        <f>Таблица3[[#This Row],[Сбербанк-цена]]^2</f>
        <v>41339.022399999994</v>
      </c>
      <c r="G69" s="5">
        <f>Таблица3[[#This Row],[Сбербанк-цена]]*Таблица3[[#This Row],[Сбербанк-объем]]</f>
        <v>350326622256</v>
      </c>
    </row>
    <row r="70" spans="1:15" x14ac:dyDescent="0.2">
      <c r="A70" s="3">
        <v>207.8</v>
      </c>
      <c r="B70" s="4">
        <v>1316335610</v>
      </c>
      <c r="C70" s="5">
        <f>k1_*Таблица3[[#This Row],[Сбербанк-цена]]+k0</f>
        <v>1141121049.7907147</v>
      </c>
      <c r="D70" s="5">
        <f>Таблица3[[#This Row],[Сбербанк-объем]]-Таблица3[[#This Row],[h=k1*x+k0]]</f>
        <v>175214560.20928526</v>
      </c>
      <c r="E70" s="5">
        <f>Таблица3[[#This Row],[y-h]]^2</f>
        <v>3.0700142109333248E+16</v>
      </c>
      <c r="F70" s="5">
        <f>Таблица3[[#This Row],[Сбербанк-цена]]^2</f>
        <v>43180.840000000004</v>
      </c>
      <c r="G70" s="5">
        <f>Таблица3[[#This Row],[Сбербанк-цена]]*Таблица3[[#This Row],[Сбербанк-объем]]</f>
        <v>273534539758</v>
      </c>
      <c r="I70" s="10" t="s">
        <v>38</v>
      </c>
      <c r="J70" s="10" t="s">
        <v>39</v>
      </c>
      <c r="K70" s="10" t="s">
        <v>40</v>
      </c>
      <c r="L70" s="10" t="s">
        <v>41</v>
      </c>
      <c r="N70" s="10" t="s">
        <v>43</v>
      </c>
      <c r="O70" s="10" t="s">
        <v>44</v>
      </c>
    </row>
    <row r="71" spans="1:15" x14ac:dyDescent="0.2">
      <c r="A71" s="3">
        <v>214.42</v>
      </c>
      <c r="B71" s="4">
        <v>1071950350</v>
      </c>
      <c r="C71" s="5">
        <f>k1_*Таблица3[[#This Row],[Сбербанк-цена]]+k0</f>
        <v>1080437175.1100481</v>
      </c>
      <c r="D71" s="5">
        <f>Таблица3[[#This Row],[Сбербанк-объем]]-Таблица3[[#This Row],[h=k1*x+k0]]</f>
        <v>-8486825.1100480556</v>
      </c>
      <c r="E71" s="5">
        <f>Таблица3[[#This Row],[y-h]]^2</f>
        <v>72026200448542.188</v>
      </c>
      <c r="F71" s="5">
        <f>Таблица3[[#This Row],[Сбербанк-цена]]^2</f>
        <v>45975.936399999991</v>
      </c>
      <c r="G71" s="5">
        <f>Таблица3[[#This Row],[Сбербанк-цена]]*Таблица3[[#This Row],[Сбербанк-объем]]</f>
        <v>229847594047</v>
      </c>
      <c r="I71" s="8">
        <v>1</v>
      </c>
      <c r="J71" s="8">
        <v>2542716886.4484172</v>
      </c>
      <c r="K71" s="8">
        <v>1794844423.5515828</v>
      </c>
      <c r="L71" s="8">
        <v>2.8452755597704402</v>
      </c>
      <c r="N71" s="8">
        <v>0.53191489361702127</v>
      </c>
      <c r="O71" s="8">
        <v>115404410</v>
      </c>
    </row>
    <row r="72" spans="1:15" x14ac:dyDescent="0.2">
      <c r="A72" s="3">
        <v>214.86</v>
      </c>
      <c r="B72" s="4">
        <v>1232290050</v>
      </c>
      <c r="C72" s="5">
        <f>k1_*Таблица3[[#This Row],[Сбербанк-цена]]+k0</f>
        <v>1076403805.7959249</v>
      </c>
      <c r="D72" s="5">
        <f>Таблица3[[#This Row],[Сбербанк-объем]]-Таблица3[[#This Row],[h=k1*x+k0]]</f>
        <v>155886244.2040751</v>
      </c>
      <c r="E72" s="5">
        <f>Таблица3[[#This Row],[y-h]]^2</f>
        <v>2.4300521132052536E+16</v>
      </c>
      <c r="F72" s="5">
        <f>Таблица3[[#This Row],[Сбербанк-цена]]^2</f>
        <v>46164.819600000003</v>
      </c>
      <c r="G72" s="5">
        <f>Таблица3[[#This Row],[Сбербанк-цена]]*Таблица3[[#This Row],[Сбербанк-объем]]</f>
        <v>264769840143.00003</v>
      </c>
      <c r="I72" s="8">
        <v>2</v>
      </c>
      <c r="J72" s="8">
        <v>2482216346.7365742</v>
      </c>
      <c r="K72" s="8">
        <v>209766423.26342583</v>
      </c>
      <c r="L72" s="8">
        <v>0.33253203984714835</v>
      </c>
      <c r="N72" s="8">
        <v>1.5957446808510638</v>
      </c>
      <c r="O72" s="8">
        <v>643074600</v>
      </c>
    </row>
    <row r="73" spans="1:15" x14ac:dyDescent="0.2">
      <c r="A73" s="3">
        <v>217.9</v>
      </c>
      <c r="B73" s="4">
        <v>1181569160</v>
      </c>
      <c r="C73" s="5">
        <f>k1_*Таблица3[[#This Row],[Сбербанк-цена]]+k0</f>
        <v>1048536890.5347123</v>
      </c>
      <c r="D73" s="5">
        <f>Таблица3[[#This Row],[Сбербанк-объем]]-Таблица3[[#This Row],[h=k1*x+k0]]</f>
        <v>133032269.46528769</v>
      </c>
      <c r="E73" s="5">
        <f>Таблица3[[#This Row],[y-h]]^2</f>
        <v>1.7697584719084914E+16</v>
      </c>
      <c r="F73" s="5">
        <f>Таблица3[[#This Row],[Сбербанк-цена]]^2</f>
        <v>47480.41</v>
      </c>
      <c r="G73" s="5">
        <f>Таблица3[[#This Row],[Сбербанк-цена]]*Таблица3[[#This Row],[Сбербанк-объем]]</f>
        <v>257463919964</v>
      </c>
      <c r="I73" s="8">
        <v>3</v>
      </c>
      <c r="J73" s="8">
        <v>2469566233.8877344</v>
      </c>
      <c r="K73" s="8">
        <v>316090076.11226559</v>
      </c>
      <c r="L73" s="8">
        <v>0.50108151795606604</v>
      </c>
      <c r="N73" s="8">
        <v>2.6595744680851063</v>
      </c>
      <c r="O73" s="8">
        <v>666344120</v>
      </c>
    </row>
    <row r="74" spans="1:15" x14ac:dyDescent="0.2">
      <c r="A74" s="3">
        <v>218</v>
      </c>
      <c r="B74" s="4">
        <v>1083180080</v>
      </c>
      <c r="C74" s="5">
        <f>k1_*Таблица3[[#This Row],[Сбербанк-цена]]+k0</f>
        <v>1047620215.6905937</v>
      </c>
      <c r="D74" s="5">
        <f>Таблица3[[#This Row],[Сбербанк-объем]]-Таблица3[[#This Row],[h=k1*x+k0]]</f>
        <v>35559864.309406281</v>
      </c>
      <c r="E74" s="5">
        <f>Таблица3[[#This Row],[y-h]]^2</f>
        <v>1264503949703386.5</v>
      </c>
      <c r="F74" s="5">
        <f>Таблица3[[#This Row],[Сбербанк-цена]]^2</f>
        <v>47524</v>
      </c>
      <c r="G74" s="5">
        <f>Таблица3[[#This Row],[Сбербанк-цена]]*Таблица3[[#This Row],[Сбербанк-объем]]</f>
        <v>236133257440</v>
      </c>
      <c r="I74" s="8">
        <v>4</v>
      </c>
      <c r="J74" s="8">
        <v>2383673800.9937997</v>
      </c>
      <c r="K74" s="8">
        <v>-353622340.99379969</v>
      </c>
      <c r="L74" s="8">
        <v>-0.56057950818239854</v>
      </c>
      <c r="N74" s="8">
        <v>3.7234042553191489</v>
      </c>
      <c r="O74" s="8">
        <v>683304570</v>
      </c>
    </row>
    <row r="75" spans="1:15" x14ac:dyDescent="0.2">
      <c r="A75" s="3">
        <v>221.57</v>
      </c>
      <c r="B75" s="4">
        <v>1088082960</v>
      </c>
      <c r="C75" s="5">
        <f>k1_*Таблица3[[#This Row],[Сбербанк-цена]]+k0</f>
        <v>1014894923.7555513</v>
      </c>
      <c r="D75" s="5">
        <f>Таблица3[[#This Row],[Сбербанк-объем]]-Таблица3[[#This Row],[h=k1*x+k0]]</f>
        <v>73188036.244448662</v>
      </c>
      <c r="E75" s="5">
        <f>Таблица3[[#This Row],[y-h]]^2</f>
        <v>5356488649318731</v>
      </c>
      <c r="F75" s="5">
        <f>Таблица3[[#This Row],[Сбербанк-цена]]^2</f>
        <v>49093.264899999995</v>
      </c>
      <c r="G75" s="5">
        <f>Таблица3[[#This Row],[Сбербанк-цена]]*Таблица3[[#This Row],[Сбербанк-объем]]</f>
        <v>241086541447.19998</v>
      </c>
      <c r="I75" s="8">
        <v>5</v>
      </c>
      <c r="J75" s="8">
        <v>2383215463.5717406</v>
      </c>
      <c r="K75" s="8">
        <v>307405606.42825937</v>
      </c>
      <c r="L75" s="8">
        <v>0.48731446995054845</v>
      </c>
      <c r="N75" s="8">
        <v>4.787234042553191</v>
      </c>
      <c r="O75" s="8">
        <v>745570010</v>
      </c>
    </row>
    <row r="76" spans="1:15" x14ac:dyDescent="0.2">
      <c r="A76" s="3">
        <v>222.36</v>
      </c>
      <c r="B76" s="4">
        <v>1043698830</v>
      </c>
      <c r="C76" s="5">
        <f>k1_*Таблица3[[#This Row],[Сбербанк-цена]]+k0</f>
        <v>1007653192.4870121</v>
      </c>
      <c r="D76" s="5">
        <f>Таблица3[[#This Row],[Сбербанк-объем]]-Таблица3[[#This Row],[h=k1*x+k0]]</f>
        <v>36045637.512987852</v>
      </c>
      <c r="E76" s="5">
        <f>Таблица3[[#This Row],[y-h]]^2</f>
        <v>1299287983717717</v>
      </c>
      <c r="F76" s="5">
        <f>Таблица3[[#This Row],[Сбербанк-цена]]^2</f>
        <v>49443.969600000004</v>
      </c>
      <c r="G76" s="5">
        <f>Таблица3[[#This Row],[Сбербанк-цена]]*Таблица3[[#This Row],[Сбербанк-объем]]</f>
        <v>232076871838.80002</v>
      </c>
      <c r="I76" s="8">
        <v>6</v>
      </c>
      <c r="J76" s="8">
        <v>2382757126.1496811</v>
      </c>
      <c r="K76" s="8">
        <v>-497351866.14968109</v>
      </c>
      <c r="L76" s="8">
        <v>-0.78842661279897697</v>
      </c>
      <c r="N76" s="8">
        <v>5.8510638297872344</v>
      </c>
      <c r="O76" s="8">
        <v>747137520</v>
      </c>
    </row>
    <row r="77" spans="1:15" x14ac:dyDescent="0.2">
      <c r="A77" s="3">
        <v>222.57</v>
      </c>
      <c r="B77" s="4">
        <v>115404410</v>
      </c>
      <c r="C77" s="5">
        <f>k1_*Таблица3[[#This Row],[Сбербанк-цена]]+k0</f>
        <v>1005728175.3143628</v>
      </c>
      <c r="D77" s="5">
        <f>Таблица3[[#This Row],[Сбербанк-объем]]-Таблица3[[#This Row],[h=k1*x+k0]]</f>
        <v>-890323765.31436276</v>
      </c>
      <c r="E77" s="5">
        <f>Таблица3[[#This Row],[y-h]]^2</f>
        <v>7.9267640708354445E+17</v>
      </c>
      <c r="F77" s="5">
        <f>Таблица3[[#This Row],[Сбербанк-цена]]^2</f>
        <v>49537.404899999994</v>
      </c>
      <c r="G77" s="5">
        <f>Таблица3[[#This Row],[Сбербанк-цена]]*Таблица3[[#This Row],[Сбербанк-объем]]</f>
        <v>25685559533.700001</v>
      </c>
      <c r="I77" s="8">
        <v>7</v>
      </c>
      <c r="J77" s="8">
        <v>2381382113.883503</v>
      </c>
      <c r="K77" s="8">
        <v>1631664086.116497</v>
      </c>
      <c r="L77" s="8">
        <v>2.5865940719229226</v>
      </c>
      <c r="N77" s="8">
        <v>6.914893617021276</v>
      </c>
      <c r="O77" s="8">
        <v>777345030</v>
      </c>
    </row>
    <row r="78" spans="1:15" x14ac:dyDescent="0.2">
      <c r="A78" s="3">
        <v>224.2</v>
      </c>
      <c r="B78" s="4">
        <v>1024861980</v>
      </c>
      <c r="C78" s="5">
        <f>k1_*Таблица3[[#This Row],[Сбербанк-цена]]+k0</f>
        <v>990786375.3552258</v>
      </c>
      <c r="D78" s="5">
        <f>Таблица3[[#This Row],[Сбербанк-объем]]-Таблица3[[#This Row],[h=k1*x+k0]]</f>
        <v>34075604.644774199</v>
      </c>
      <c r="E78" s="5">
        <f>Таблица3[[#This Row],[y-h]]^2</f>
        <v>1161146831906957</v>
      </c>
      <c r="F78" s="5">
        <f>Таблица3[[#This Row],[Сбербанк-цена]]^2</f>
        <v>50265.639999999992</v>
      </c>
      <c r="G78" s="5">
        <f>Таблица3[[#This Row],[Сбербанк-цена]]*Таблица3[[#This Row],[Сбербанк-объем]]</f>
        <v>229774055916</v>
      </c>
      <c r="I78" s="8">
        <v>8</v>
      </c>
      <c r="J78" s="8">
        <v>2374873722.4902592</v>
      </c>
      <c r="K78" s="8">
        <v>702013867.50974083</v>
      </c>
      <c r="L78" s="8">
        <v>1.112866872267932</v>
      </c>
      <c r="N78" s="8">
        <v>7.9787234042553195</v>
      </c>
      <c r="O78" s="8">
        <v>780046580</v>
      </c>
    </row>
    <row r="79" spans="1:15" x14ac:dyDescent="0.2">
      <c r="A79" s="3">
        <v>224.35</v>
      </c>
      <c r="B79" s="4">
        <v>1254395580</v>
      </c>
      <c r="C79" s="5">
        <f>k1_*Таблица3[[#This Row],[Сбербанк-цена]]+k0</f>
        <v>989411363.08904767</v>
      </c>
      <c r="D79" s="5">
        <f>Таблица3[[#This Row],[Сбербанк-объем]]-Таблица3[[#This Row],[h=k1*x+k0]]</f>
        <v>264984216.91095233</v>
      </c>
      <c r="E79" s="5">
        <f>Таблица3[[#This Row],[y-h]]^2</f>
        <v>7.0216635211910632E+16</v>
      </c>
      <c r="F79" s="5">
        <f>Таблица3[[#This Row],[Сбербанк-цена]]^2</f>
        <v>50332.922500000001</v>
      </c>
      <c r="G79" s="5">
        <f>Таблица3[[#This Row],[Сбербанк-цена]]*Таблица3[[#This Row],[Сбербанк-объем]]</f>
        <v>281423648373</v>
      </c>
      <c r="I79" s="8">
        <v>9</v>
      </c>
      <c r="J79" s="8">
        <v>2372215365.4423146</v>
      </c>
      <c r="K79" s="8">
        <v>-541311115.44231462</v>
      </c>
      <c r="L79" s="8">
        <v>-0.85811297446741019</v>
      </c>
      <c r="N79" s="8">
        <v>9.0425531914893611</v>
      </c>
      <c r="O79" s="8">
        <v>796864790</v>
      </c>
    </row>
    <row r="80" spans="1:15" x14ac:dyDescent="0.2">
      <c r="A80" s="3">
        <v>225.17</v>
      </c>
      <c r="B80" s="4">
        <v>1567685270</v>
      </c>
      <c r="C80" s="5">
        <f>k1_*Таблица3[[#This Row],[Сбербанк-цена]]+k0</f>
        <v>981894629.36727309</v>
      </c>
      <c r="D80" s="5">
        <f>Таблица3[[#This Row],[Сбербанк-объем]]-Таблица3[[#This Row],[h=k1*x+k0]]</f>
        <v>585790640.63272691</v>
      </c>
      <c r="E80" s="5">
        <f>Таблица3[[#This Row],[y-h]]^2</f>
        <v>3.4315067465290061E+17</v>
      </c>
      <c r="F80" s="5">
        <f>Таблица3[[#This Row],[Сбербанк-цена]]^2</f>
        <v>50701.528899999998</v>
      </c>
      <c r="G80" s="5">
        <f>Таблица3[[#This Row],[Сбербанк-цена]]*Таблица3[[#This Row],[Сбербанк-объем]]</f>
        <v>352995692245.89996</v>
      </c>
      <c r="I80" s="8">
        <v>10</v>
      </c>
      <c r="J80" s="8">
        <v>2371298690.5981956</v>
      </c>
      <c r="K80" s="8">
        <v>180071319.40180445</v>
      </c>
      <c r="L80" s="8">
        <v>0.28545790230428075</v>
      </c>
      <c r="N80" s="8">
        <v>10.106382978723403</v>
      </c>
      <c r="O80" s="8">
        <v>817013500</v>
      </c>
    </row>
    <row r="81" spans="1:15" x14ac:dyDescent="0.2">
      <c r="A81" s="3">
        <v>225.2</v>
      </c>
      <c r="B81" s="4">
        <v>683304570</v>
      </c>
      <c r="C81" s="5">
        <f>k1_*Таблица3[[#This Row],[Сбербанк-цена]]+k0</f>
        <v>981619626.91403747</v>
      </c>
      <c r="D81" s="5">
        <f>Таблица3[[#This Row],[Сбербанк-объем]]-Таблица3[[#This Row],[h=k1*x+k0]]</f>
        <v>-298315056.91403747</v>
      </c>
      <c r="E81" s="5">
        <f>Таблица3[[#This Row],[y-h]]^2</f>
        <v>8.8991873181625408E+16</v>
      </c>
      <c r="F81" s="5">
        <f>Таблица3[[#This Row],[Сбербанк-цена]]^2</f>
        <v>50715.039999999994</v>
      </c>
      <c r="G81" s="5">
        <f>Таблица3[[#This Row],[Сбербанк-цена]]*Таблица3[[#This Row],[Сбербанк-объем]]</f>
        <v>153880189164</v>
      </c>
      <c r="I81" s="8">
        <v>11</v>
      </c>
      <c r="J81" s="8">
        <v>2363048617.0011263</v>
      </c>
      <c r="K81" s="8">
        <v>125063322.99887371</v>
      </c>
      <c r="L81" s="8">
        <v>0.19825652389873841</v>
      </c>
      <c r="N81" s="8">
        <v>11.170212765957446</v>
      </c>
      <c r="O81" s="8">
        <v>825457660</v>
      </c>
    </row>
    <row r="82" spans="1:15" x14ac:dyDescent="0.2">
      <c r="A82" s="3">
        <v>226.1</v>
      </c>
      <c r="B82" s="4">
        <v>1324478990</v>
      </c>
      <c r="C82" s="5">
        <f>k1_*Таблица3[[#This Row],[Сбербанк-цена]]+k0</f>
        <v>973369553.31696796</v>
      </c>
      <c r="D82" s="5">
        <f>Таблица3[[#This Row],[Сбербанк-объем]]-Таблица3[[#This Row],[h=k1*x+k0]]</f>
        <v>351109436.68303204</v>
      </c>
      <c r="E82" s="5">
        <f>Таблица3[[#This Row],[y-h]]^2</f>
        <v>1.2327783652787608E+17</v>
      </c>
      <c r="F82" s="5">
        <f>Таблица3[[#This Row],[Сбербанк-цена]]^2</f>
        <v>51121.21</v>
      </c>
      <c r="G82" s="5">
        <f>Таблица3[[#This Row],[Сбербанк-цена]]*Таблица3[[#This Row],[Сбербанк-объем]]</f>
        <v>299464699639</v>
      </c>
      <c r="I82" s="8">
        <v>12</v>
      </c>
      <c r="J82" s="8">
        <v>2355715218.2481756</v>
      </c>
      <c r="K82" s="8">
        <v>-347673108.24817562</v>
      </c>
      <c r="L82" s="8">
        <v>-0.55114849215204242</v>
      </c>
      <c r="N82" s="8">
        <v>12.23404255319149</v>
      </c>
      <c r="O82" s="8">
        <v>840068720</v>
      </c>
    </row>
    <row r="83" spans="1:15" x14ac:dyDescent="0.2">
      <c r="A83" s="3">
        <v>226.99</v>
      </c>
      <c r="B83" s="4">
        <v>2377768000</v>
      </c>
      <c r="C83" s="5">
        <f>k1_*Таблица3[[#This Row],[Сбербанк-цена]]+k0</f>
        <v>965211147.20431018</v>
      </c>
      <c r="D83" s="5">
        <f>Таблица3[[#This Row],[Сбербанк-объем]]-Таблица3[[#This Row],[h=k1*x+k0]]</f>
        <v>1412556852.7956898</v>
      </c>
      <c r="E83" s="5">
        <f>Таблица3[[#This Row],[y-h]]^2</f>
        <v>1.995316862380064E+18</v>
      </c>
      <c r="F83" s="5">
        <f>Таблица3[[#This Row],[Сбербанк-цена]]^2</f>
        <v>51524.460100000004</v>
      </c>
      <c r="G83" s="5">
        <f>Таблица3[[#This Row],[Сбербанк-цена]]*Таблица3[[#This Row],[Сбербанк-объем]]</f>
        <v>539729558320</v>
      </c>
      <c r="I83" s="8">
        <v>13</v>
      </c>
      <c r="J83" s="8">
        <v>2353698533.591114</v>
      </c>
      <c r="K83" s="8">
        <v>537713386.40888596</v>
      </c>
      <c r="L83" s="8">
        <v>0.85240967764949693</v>
      </c>
      <c r="N83" s="8">
        <v>13.297872340425531</v>
      </c>
      <c r="O83" s="8">
        <v>894393040</v>
      </c>
    </row>
    <row r="84" spans="1:15" x14ac:dyDescent="0.2">
      <c r="A84" s="3">
        <v>227.71</v>
      </c>
      <c r="B84" s="4">
        <v>796864790</v>
      </c>
      <c r="C84" s="5">
        <f>k1_*Таблица3[[#This Row],[Сбербанк-цена]]+k0</f>
        <v>958611088.32665467</v>
      </c>
      <c r="D84" s="5">
        <f>Таблица3[[#This Row],[Сбербанк-объем]]-Таблица3[[#This Row],[h=k1*x+k0]]</f>
        <v>-161746298.32665467</v>
      </c>
      <c r="E84" s="5">
        <f>Таблица3[[#This Row],[y-h]]^2</f>
        <v>2.6161865022375172E+16</v>
      </c>
      <c r="F84" s="5">
        <f>Таблица3[[#This Row],[Сбербанк-цена]]^2</f>
        <v>51851.844100000002</v>
      </c>
      <c r="G84" s="5">
        <f>Таблица3[[#This Row],[Сбербанк-цена]]*Таблица3[[#This Row],[Сбербанк-объем]]</f>
        <v>181454081330.89999</v>
      </c>
      <c r="I84" s="8">
        <v>14</v>
      </c>
      <c r="J84" s="8">
        <v>2350123501.6990509</v>
      </c>
      <c r="K84" s="8">
        <v>1233666368.3009491</v>
      </c>
      <c r="L84" s="8">
        <v>1.9556685362688595</v>
      </c>
      <c r="N84" s="8">
        <v>14.361702127659573</v>
      </c>
      <c r="O84" s="8">
        <v>919822790</v>
      </c>
    </row>
    <row r="85" spans="1:15" x14ac:dyDescent="0.2">
      <c r="A85" s="3">
        <v>233.24</v>
      </c>
      <c r="B85" s="4">
        <v>1029175370</v>
      </c>
      <c r="C85" s="5">
        <f>k1_*Таблица3[[#This Row],[Сбербанк-цена]]+k0</f>
        <v>907918969.44688296</v>
      </c>
      <c r="D85" s="5">
        <f>Таблица3[[#This Row],[Сбербанк-объем]]-Таблица3[[#This Row],[h=k1*x+k0]]</f>
        <v>121256400.55311704</v>
      </c>
      <c r="E85" s="5">
        <f>Таблица3[[#This Row],[y-h]]^2</f>
        <v>1.4703114675097962E+16</v>
      </c>
      <c r="F85" s="5">
        <f>Таблица3[[#This Row],[Сбербанк-цена]]^2</f>
        <v>54400.897600000004</v>
      </c>
      <c r="G85" s="5">
        <f>Таблица3[[#This Row],[Сбербанк-цена]]*Таблица3[[#This Row],[Сбербанк-объем]]</f>
        <v>240044863298.80002</v>
      </c>
      <c r="I85" s="8">
        <v>15</v>
      </c>
      <c r="J85" s="8">
        <v>2347190142.1978703</v>
      </c>
      <c r="K85" s="8">
        <v>558419797.80212975</v>
      </c>
      <c r="L85" s="8">
        <v>0.88523449828279099</v>
      </c>
      <c r="N85" s="8">
        <v>15.425531914893616</v>
      </c>
      <c r="O85" s="8">
        <v>943835730</v>
      </c>
    </row>
    <row r="86" spans="1:15" x14ac:dyDescent="0.2">
      <c r="A86" s="3">
        <v>233.36</v>
      </c>
      <c r="B86" s="4">
        <v>919822790</v>
      </c>
      <c r="C86" s="5">
        <f>k1_*Таблица3[[#This Row],[Сбербанк-цена]]+k0</f>
        <v>906818959.63394022</v>
      </c>
      <c r="D86" s="5">
        <f>Таблица3[[#This Row],[Сбербанк-объем]]-Таблица3[[#This Row],[h=k1*x+k0]]</f>
        <v>13003830.36605978</v>
      </c>
      <c r="E86" s="5">
        <f>Таблица3[[#This Row],[y-h]]^2</f>
        <v>169099604189258.44</v>
      </c>
      <c r="F86" s="5">
        <f>Таблица3[[#This Row],[Сбербанк-цена]]^2</f>
        <v>54456.88960000001</v>
      </c>
      <c r="G86" s="5">
        <f>Таблица3[[#This Row],[Сбербанк-цена]]*Таблица3[[#This Row],[Сбербанк-объем]]</f>
        <v>214649846274.40002</v>
      </c>
      <c r="I86" s="8">
        <v>16</v>
      </c>
      <c r="J86" s="8">
        <v>2341048420.7422743</v>
      </c>
      <c r="K86" s="8">
        <v>875982429.25772572</v>
      </c>
      <c r="L86" s="8">
        <v>1.3886503833148049</v>
      </c>
      <c r="N86" s="8">
        <v>16.48936170212766</v>
      </c>
      <c r="O86" s="8">
        <v>965518550</v>
      </c>
    </row>
    <row r="87" spans="1:15" x14ac:dyDescent="0.2">
      <c r="A87" s="3">
        <v>233.49</v>
      </c>
      <c r="B87" s="4">
        <v>780046580</v>
      </c>
      <c r="C87" s="5">
        <f>k1_*Таблица3[[#This Row],[Сбербанк-цена]]+k0</f>
        <v>905627282.33658576</v>
      </c>
      <c r="D87" s="5">
        <f>Таблица3[[#This Row],[Сбербанк-объем]]-Таблица3[[#This Row],[h=k1*x+k0]]</f>
        <v>-125580702.33658576</v>
      </c>
      <c r="E87" s="5">
        <f>Таблица3[[#This Row],[y-h]]^2</f>
        <v>1.5770512799350156E+16</v>
      </c>
      <c r="F87" s="5">
        <f>Таблица3[[#This Row],[Сбербанк-цена]]^2</f>
        <v>54517.580100000006</v>
      </c>
      <c r="G87" s="5">
        <f>Таблица3[[#This Row],[Сбербанк-цена]]*Таблица3[[#This Row],[Сбербанк-объем]]</f>
        <v>182133075964.20001</v>
      </c>
      <c r="I87" s="8">
        <v>17</v>
      </c>
      <c r="J87" s="8">
        <v>2277797856.498075</v>
      </c>
      <c r="K87" s="8">
        <v>2620793853.501925</v>
      </c>
      <c r="L87" s="8">
        <v>4.1546111744939838</v>
      </c>
      <c r="N87" s="8">
        <v>17.553191489361701</v>
      </c>
      <c r="O87" s="8">
        <v>980688220</v>
      </c>
    </row>
    <row r="88" spans="1:15" x14ac:dyDescent="0.2">
      <c r="A88" s="3">
        <v>233.98</v>
      </c>
      <c r="B88" s="4">
        <v>643074600</v>
      </c>
      <c r="C88" s="5">
        <f>k1_*Таблица3[[#This Row],[Сбербанк-цена]]+k0</f>
        <v>901135575.60040379</v>
      </c>
      <c r="D88" s="5">
        <f>Таблица3[[#This Row],[Сбербанк-объем]]-Таблица3[[#This Row],[h=k1*x+k0]]</f>
        <v>-258060975.60040379</v>
      </c>
      <c r="E88" s="5">
        <f>Таблица3[[#This Row],[y-h]]^2</f>
        <v>6.65954671278322E+16</v>
      </c>
      <c r="F88" s="5">
        <f>Таблица3[[#This Row],[Сбербанк-цена]]^2</f>
        <v>54746.640399999997</v>
      </c>
      <c r="G88" s="5">
        <f>Таблица3[[#This Row],[Сбербанк-цена]]*Таблица3[[#This Row],[Сбербанк-объем]]</f>
        <v>150466594908</v>
      </c>
      <c r="I88" s="8">
        <v>18</v>
      </c>
      <c r="J88" s="8">
        <v>2271381132.5892429</v>
      </c>
      <c r="K88" s="8">
        <v>730058117.41075706</v>
      </c>
      <c r="L88" s="8">
        <v>1.1573239950070511</v>
      </c>
      <c r="N88" s="8">
        <v>18.617021276595743</v>
      </c>
      <c r="O88" s="8">
        <v>989614480</v>
      </c>
    </row>
    <row r="89" spans="1:15" x14ac:dyDescent="0.2">
      <c r="A89" s="3">
        <v>234.89</v>
      </c>
      <c r="B89" s="4">
        <v>894393040</v>
      </c>
      <c r="C89" s="5">
        <f>k1_*Таблица3[[#This Row],[Сбербанк-цена]]+k0</f>
        <v>892793834.51892233</v>
      </c>
      <c r="D89" s="5">
        <f>Таблица3[[#This Row],[Сбербанк-объем]]-Таблица3[[#This Row],[h=k1*x+k0]]</f>
        <v>1599205.4810776711</v>
      </c>
      <c r="E89" s="5">
        <f>Таблица3[[#This Row],[y-h]]^2</f>
        <v>2557458170708.8652</v>
      </c>
      <c r="F89" s="5">
        <f>Таблица3[[#This Row],[Сбербанк-цена]]^2</f>
        <v>55173.312099999996</v>
      </c>
      <c r="G89" s="5">
        <f>Таблица3[[#This Row],[Сбербанк-цена]]*Таблица3[[#This Row],[Сбербанк-объем]]</f>
        <v>210083981165.59998</v>
      </c>
      <c r="I89" s="8">
        <v>19</v>
      </c>
      <c r="J89" s="8">
        <v>2271381132.5892429</v>
      </c>
      <c r="K89" s="8">
        <v>-262886472.58924294</v>
      </c>
      <c r="L89" s="8">
        <v>-0.41674055179242003</v>
      </c>
      <c r="N89" s="8">
        <v>19.680851063829785</v>
      </c>
      <c r="O89" s="8">
        <v>993704870</v>
      </c>
    </row>
    <row r="90" spans="1:15" x14ac:dyDescent="0.2">
      <c r="A90" s="3">
        <v>238.55</v>
      </c>
      <c r="B90" s="4">
        <v>1023004980</v>
      </c>
      <c r="C90" s="5">
        <f>k1_*Таблица3[[#This Row],[Сбербанк-цена]]+k0</f>
        <v>859243535.22417259</v>
      </c>
      <c r="D90" s="5">
        <f>Таблица3[[#This Row],[Сбербанк-объем]]-Таблица3[[#This Row],[h=k1*x+k0]]</f>
        <v>163761444.77582741</v>
      </c>
      <c r="E90" s="5">
        <f>Таблица3[[#This Row],[y-h]]^2</f>
        <v>2.6817810795066368E+16</v>
      </c>
      <c r="F90" s="5">
        <f>Таблица3[[#This Row],[Сбербанк-цена]]^2</f>
        <v>56906.102500000008</v>
      </c>
      <c r="G90" s="5">
        <f>Таблица3[[#This Row],[Сбербанк-цена]]*Таблица3[[#This Row],[Сбербанк-объем]]</f>
        <v>244037837979</v>
      </c>
      <c r="I90" s="8">
        <v>20</v>
      </c>
      <c r="J90" s="8">
        <v>2237189160.9036107</v>
      </c>
      <c r="K90" s="8">
        <v>-823043680.90361071</v>
      </c>
      <c r="L90" s="8">
        <v>-1.3047292785770759</v>
      </c>
      <c r="N90" s="8">
        <v>20.74468085106383</v>
      </c>
      <c r="O90" s="8">
        <v>1023004980</v>
      </c>
    </row>
    <row r="91" spans="1:15" x14ac:dyDescent="0.2">
      <c r="A91" s="3">
        <v>252.2</v>
      </c>
      <c r="B91" s="4">
        <v>747137520</v>
      </c>
      <c r="C91" s="5">
        <f>k1_*Таблица3[[#This Row],[Сбербанк-цена]]+k0</f>
        <v>734117419.00195169</v>
      </c>
      <c r="D91" s="5">
        <f>Таблица3[[#This Row],[Сбербанк-объем]]-Таблица3[[#This Row],[h=k1*x+k0]]</f>
        <v>13020100.998048306</v>
      </c>
      <c r="E91" s="5">
        <f>Таблица3[[#This Row],[y-h]]^2</f>
        <v>169523029999378.47</v>
      </c>
      <c r="F91" s="5">
        <f>Таблица3[[#This Row],[Сбербанк-цена]]^2</f>
        <v>63604.84</v>
      </c>
      <c r="G91" s="5">
        <f>Таблица3[[#This Row],[Сбербанк-цена]]*Таблица3[[#This Row],[Сбербанк-объем]]</f>
        <v>188428082544</v>
      </c>
      <c r="I91" s="8">
        <v>21</v>
      </c>
      <c r="J91" s="8">
        <v>2216105639.4888773</v>
      </c>
      <c r="K91" s="8">
        <v>633519560.5111227</v>
      </c>
      <c r="L91" s="8">
        <v>1.0042863317323079</v>
      </c>
      <c r="N91" s="8">
        <v>21.808510638297872</v>
      </c>
      <c r="O91" s="8">
        <v>1024861980</v>
      </c>
    </row>
    <row r="92" spans="1:15" x14ac:dyDescent="0.2">
      <c r="A92" s="3">
        <v>253.57</v>
      </c>
      <c r="B92" s="4">
        <v>993704870</v>
      </c>
      <c r="C92" s="5">
        <f>k1_*Таблица3[[#This Row],[Сбербанк-цена]]+k0</f>
        <v>721558973.63752365</v>
      </c>
      <c r="D92" s="5">
        <f>Таблица3[[#This Row],[Сбербанк-объем]]-Таблица3[[#This Row],[h=k1*x+k0]]</f>
        <v>272145896.36247635</v>
      </c>
      <c r="E92" s="5">
        <f>Таблица3[[#This Row],[y-h]]^2</f>
        <v>7.4063388906935712E+16</v>
      </c>
      <c r="F92" s="5">
        <f>Таблица3[[#This Row],[Сбербанк-цена]]^2</f>
        <v>64297.744899999998</v>
      </c>
      <c r="G92" s="5">
        <f>Таблица3[[#This Row],[Сбербанк-цена]]*Таблица3[[#This Row],[Сбербанк-объем]]</f>
        <v>251973743885.89999</v>
      </c>
      <c r="I92" s="8">
        <v>22</v>
      </c>
      <c r="J92" s="8">
        <v>2210330587.9709291</v>
      </c>
      <c r="K92" s="8">
        <v>-699872057.97092915</v>
      </c>
      <c r="L92" s="8">
        <v>-1.1094715705612774</v>
      </c>
      <c r="N92" s="8">
        <v>22.872340425531913</v>
      </c>
      <c r="O92" s="8">
        <v>1029175370</v>
      </c>
    </row>
    <row r="93" spans="1:15" x14ac:dyDescent="0.2">
      <c r="A93" s="3">
        <v>254.75</v>
      </c>
      <c r="B93" s="4">
        <v>666344120</v>
      </c>
      <c r="C93" s="5">
        <f>k1_*Таблица3[[#This Row],[Сбербанк-цена]]+k0</f>
        <v>710742210.47692156</v>
      </c>
      <c r="D93" s="5">
        <f>Таблица3[[#This Row],[Сбербанк-объем]]-Таблица3[[#This Row],[h=k1*x+k0]]</f>
        <v>-44398090.476921558</v>
      </c>
      <c r="E93" s="5">
        <f>Таблица3[[#This Row],[y-h]]^2</f>
        <v>1971190437996912.8</v>
      </c>
      <c r="F93" s="5">
        <f>Таблица3[[#This Row],[Сбербанк-цена]]^2</f>
        <v>64897.5625</v>
      </c>
      <c r="G93" s="5">
        <f>Таблица3[[#This Row],[Сбербанк-цена]]*Таблица3[[#This Row],[Сбербанк-объем]]</f>
        <v>169751164570</v>
      </c>
      <c r="I93" s="8">
        <v>23</v>
      </c>
      <c r="J93" s="8">
        <v>2194013775.7456136</v>
      </c>
      <c r="K93" s="8">
        <v>-1002026095.7456136</v>
      </c>
      <c r="L93" s="8">
        <v>-1.5884609958759759</v>
      </c>
      <c r="N93" s="8">
        <v>23.936170212765958</v>
      </c>
      <c r="O93" s="8">
        <v>1032064390</v>
      </c>
    </row>
    <row r="94" spans="1:15" x14ac:dyDescent="0.2">
      <c r="A94" s="3">
        <v>264.5</v>
      </c>
      <c r="B94" s="4">
        <v>840068720</v>
      </c>
      <c r="C94" s="5">
        <f>k1_*Таблица3[[#This Row],[Сбербанк-цена]]+k0</f>
        <v>621366413.17533493</v>
      </c>
      <c r="D94" s="5">
        <f>Таблица3[[#This Row],[Сбербанк-объем]]-Таблица3[[#This Row],[h=k1*x+k0]]</f>
        <v>218702306.82466507</v>
      </c>
      <c r="E94" s="5">
        <f>Таблица3[[#This Row],[y-h]]^2</f>
        <v>4.7830699010429944E+16</v>
      </c>
      <c r="F94" s="5">
        <f>Таблица3[[#This Row],[Сбербанк-цена]]^2</f>
        <v>69960.25</v>
      </c>
      <c r="G94" s="5">
        <f>Таблица3[[#This Row],[Сбербанк-цена]]*Таблица3[[#This Row],[Сбербанк-объем]]</f>
        <v>222198176440</v>
      </c>
      <c r="I94" s="8">
        <v>24</v>
      </c>
      <c r="J94" s="8">
        <v>2187230381.8991342</v>
      </c>
      <c r="K94" s="8">
        <v>-583245841.89913416</v>
      </c>
      <c r="L94" s="8">
        <v>-0.92458996307300145</v>
      </c>
      <c r="N94" s="8">
        <v>25</v>
      </c>
      <c r="O94" s="8">
        <v>1043698830</v>
      </c>
    </row>
    <row r="95" spans="1:15" x14ac:dyDescent="0.2">
      <c r="A95" s="3">
        <v>272.39999999999998</v>
      </c>
      <c r="B95" s="4">
        <v>1032064390</v>
      </c>
      <c r="C95" s="5">
        <f>k1_*Таблица3[[#This Row],[Сбербанк-цена]]+k0</f>
        <v>548949100.48994732</v>
      </c>
      <c r="D95" s="5">
        <f>Таблица3[[#This Row],[Сбербанк-объем]]-Таблица3[[#This Row],[h=k1*x+k0]]</f>
        <v>483115289.51005268</v>
      </c>
      <c r="E95" s="5">
        <f>Таблица3[[#This Row],[y-h]]^2</f>
        <v>2.3340038295838202E+17</v>
      </c>
      <c r="F95" s="5">
        <f>Таблица3[[#This Row],[Сбербанк-цена]]^2</f>
        <v>74201.759999999995</v>
      </c>
      <c r="G95" s="5">
        <f>Таблица3[[#This Row],[Сбербанк-цена]]*Таблица3[[#This Row],[Сбербанк-объем]]</f>
        <v>281134339836</v>
      </c>
      <c r="I95" s="8">
        <v>25</v>
      </c>
      <c r="J95" s="8">
        <v>2177880298.4891224</v>
      </c>
      <c r="K95" s="8">
        <v>-750621108.48912239</v>
      </c>
      <c r="L95" s="8">
        <v>-1.1899214587110516</v>
      </c>
      <c r="N95" s="8">
        <v>26.063829787234042</v>
      </c>
      <c r="O95" s="8">
        <v>1056892340</v>
      </c>
    </row>
    <row r="96" spans="1:15" x14ac:dyDescent="0.2">
      <c r="A96" s="5">
        <f>SUBTOTAL(109,Таблица3[Сбербанк-цена])</f>
        <v>14229.27</v>
      </c>
      <c r="B96" s="5">
        <f>SUBTOTAL(109,Таблица3[Сбербанк-объем])</f>
        <v>155885170740</v>
      </c>
      <c r="C96" s="5">
        <f>SUBTOTAL(109,Таблица3[h=k1*x+k0])</f>
        <v>155885170739.99936</v>
      </c>
      <c r="D96" s="5">
        <f>SUBTOTAL(109,Таблица3[y-h])</f>
        <v>6.3753128051757812E-4</v>
      </c>
      <c r="E96" s="5">
        <f>SUBTOTAL(109,Таблица3[(y-h)^2])</f>
        <v>3.7007342702883201E+19</v>
      </c>
      <c r="F96" s="5">
        <f>SUBTOTAL(109,Таблица3[x^2])</f>
        <v>2526861.3566999994</v>
      </c>
      <c r="G96" s="5">
        <f>SUBTOTAL(109,Таблица3[x*y])</f>
        <v>20178846716892.094</v>
      </c>
      <c r="I96" s="8">
        <v>26</v>
      </c>
      <c r="J96" s="8">
        <v>2173021921.8152924</v>
      </c>
      <c r="K96" s="8">
        <v>-451981841.81529236</v>
      </c>
      <c r="L96" s="8">
        <v>-0.71650382122387957</v>
      </c>
      <c r="N96" s="8">
        <v>27.127659574468083</v>
      </c>
      <c r="O96" s="8">
        <v>1066034430</v>
      </c>
    </row>
    <row r="97" spans="2:15" x14ac:dyDescent="0.2">
      <c r="B97" s="5"/>
      <c r="C97" s="5"/>
      <c r="I97" s="8">
        <v>27</v>
      </c>
      <c r="J97" s="8">
        <v>2161380151.2949834</v>
      </c>
      <c r="K97" s="8">
        <v>-101234681.29498339</v>
      </c>
      <c r="L97" s="8">
        <v>-0.16048219038383291</v>
      </c>
      <c r="N97" s="8">
        <v>28.191489361702125</v>
      </c>
      <c r="O97" s="8">
        <v>1071950350</v>
      </c>
    </row>
    <row r="98" spans="2:15" x14ac:dyDescent="0.2">
      <c r="I98" s="8">
        <v>28</v>
      </c>
      <c r="J98" s="8">
        <v>2148913373.4149671</v>
      </c>
      <c r="K98" s="8">
        <v>-222505723.41496706</v>
      </c>
      <c r="L98" s="8">
        <v>-0.35272700432102516</v>
      </c>
      <c r="N98" s="8">
        <v>29.25531914893617</v>
      </c>
      <c r="O98" s="8">
        <v>1083180080</v>
      </c>
    </row>
    <row r="99" spans="2:15" x14ac:dyDescent="0.2">
      <c r="I99" s="8">
        <v>29</v>
      </c>
      <c r="J99" s="8">
        <v>2139746624.9737787</v>
      </c>
      <c r="K99" s="8">
        <v>-448256544.97377872</v>
      </c>
      <c r="L99" s="8">
        <v>-0.7105982976492653</v>
      </c>
      <c r="N99" s="8">
        <v>30.319148936170212</v>
      </c>
      <c r="O99" s="8">
        <v>1088082960</v>
      </c>
    </row>
    <row r="100" spans="2:15" x14ac:dyDescent="0.2">
      <c r="I100" s="8">
        <v>30</v>
      </c>
      <c r="J100" s="8">
        <v>2138004942.769953</v>
      </c>
      <c r="K100" s="8">
        <v>-623587812.76995301</v>
      </c>
      <c r="L100" s="8">
        <v>-0.98854203727260304</v>
      </c>
      <c r="N100" s="8">
        <v>31.382978723404253</v>
      </c>
      <c r="O100" s="8">
        <v>1113951960</v>
      </c>
    </row>
    <row r="101" spans="2:15" x14ac:dyDescent="0.2">
      <c r="I101" s="8">
        <v>31</v>
      </c>
      <c r="J101" s="8">
        <v>2137454937.8634818</v>
      </c>
      <c r="K101" s="8">
        <v>-561141127.86348176</v>
      </c>
      <c r="L101" s="8">
        <v>-0.88954848439324841</v>
      </c>
      <c r="N101" s="8">
        <v>32.446808510638299</v>
      </c>
      <c r="O101" s="8">
        <v>1118608200</v>
      </c>
    </row>
    <row r="102" spans="2:15" x14ac:dyDescent="0.2">
      <c r="I102" s="8">
        <v>32</v>
      </c>
      <c r="J102" s="8">
        <v>2118571436.0746336</v>
      </c>
      <c r="K102" s="8">
        <v>-555155346.0746336</v>
      </c>
      <c r="L102" s="8">
        <v>-0.88005952902394247</v>
      </c>
      <c r="N102" s="8">
        <v>33.51063829787234</v>
      </c>
      <c r="O102" s="8">
        <v>1147560770</v>
      </c>
    </row>
    <row r="103" spans="2:15" x14ac:dyDescent="0.2">
      <c r="I103" s="8">
        <v>33</v>
      </c>
      <c r="J103" s="8">
        <v>2117746428.7149267</v>
      </c>
      <c r="K103" s="8">
        <v>-236837148.71492672</v>
      </c>
      <c r="L103" s="8">
        <v>-0.37544588380026328</v>
      </c>
      <c r="N103" s="8">
        <v>34.574468085106382</v>
      </c>
      <c r="O103" s="8">
        <v>1150874110</v>
      </c>
    </row>
    <row r="104" spans="2:15" x14ac:dyDescent="0.2">
      <c r="I104" s="8">
        <v>34</v>
      </c>
      <c r="J104" s="8">
        <v>2104179641.0219681</v>
      </c>
      <c r="K104" s="8">
        <v>-169176971.02196813</v>
      </c>
      <c r="L104" s="8">
        <v>-0.26818764602020895</v>
      </c>
      <c r="N104" s="8">
        <v>35.638297872340424</v>
      </c>
      <c r="O104" s="8">
        <v>1181569160</v>
      </c>
    </row>
    <row r="105" spans="2:15" x14ac:dyDescent="0.2">
      <c r="I105" s="8">
        <v>35</v>
      </c>
      <c r="J105" s="8">
        <v>2102712961.271378</v>
      </c>
      <c r="K105" s="8">
        <v>184214998.72862196</v>
      </c>
      <c r="L105" s="8">
        <v>0.29202666634946212</v>
      </c>
      <c r="N105" s="8">
        <v>36.702127659574465</v>
      </c>
      <c r="O105" s="8">
        <v>1191987680</v>
      </c>
    </row>
    <row r="106" spans="2:15" x14ac:dyDescent="0.2">
      <c r="I106" s="8">
        <v>36</v>
      </c>
      <c r="J106" s="8">
        <v>2101154614.036376</v>
      </c>
      <c r="K106" s="8">
        <v>-442109734.036376</v>
      </c>
      <c r="L106" s="8">
        <v>-0.70085407096241181</v>
      </c>
      <c r="N106" s="8">
        <v>37.765957446808507</v>
      </c>
      <c r="O106" s="8">
        <v>1204467020</v>
      </c>
    </row>
    <row r="107" spans="2:15" x14ac:dyDescent="0.2">
      <c r="I107" s="8">
        <v>37</v>
      </c>
      <c r="J107" s="8">
        <v>2087404491.3745937</v>
      </c>
      <c r="K107" s="8">
        <v>-475192491.37459373</v>
      </c>
      <c r="L107" s="8">
        <v>-0.75329848322962456</v>
      </c>
      <c r="N107" s="8">
        <v>38.829787234042549</v>
      </c>
      <c r="O107" s="8">
        <v>1224653180</v>
      </c>
    </row>
    <row r="108" spans="2:15" x14ac:dyDescent="0.2">
      <c r="I108" s="8">
        <v>38</v>
      </c>
      <c r="J108" s="8">
        <v>2065129292.6625059</v>
      </c>
      <c r="K108" s="8">
        <v>118877417.33749413</v>
      </c>
      <c r="L108" s="8">
        <v>0.18845032233473802</v>
      </c>
      <c r="N108" s="8">
        <v>39.893617021276597</v>
      </c>
      <c r="O108" s="8">
        <v>1232290050</v>
      </c>
    </row>
    <row r="109" spans="2:15" x14ac:dyDescent="0.2">
      <c r="I109" s="8">
        <v>39</v>
      </c>
      <c r="J109" s="8">
        <v>2041387414.1998281</v>
      </c>
      <c r="K109" s="8">
        <v>-318035834.19982815</v>
      </c>
      <c r="L109" s="8">
        <v>-0.50416602927031828</v>
      </c>
      <c r="N109" s="8">
        <v>40.957446808510639</v>
      </c>
      <c r="O109" s="8">
        <v>1249106940</v>
      </c>
    </row>
    <row r="110" spans="2:15" x14ac:dyDescent="0.2">
      <c r="I110" s="8">
        <v>40</v>
      </c>
      <c r="J110" s="8">
        <v>2038545722.1830597</v>
      </c>
      <c r="K110" s="8">
        <v>-78808292.183059692</v>
      </c>
      <c r="L110" s="8">
        <v>-0.12493077656948426</v>
      </c>
      <c r="N110" s="8">
        <v>42.021276595744681</v>
      </c>
      <c r="O110" s="8">
        <v>1254395580</v>
      </c>
    </row>
    <row r="111" spans="2:15" x14ac:dyDescent="0.2">
      <c r="I111" s="8">
        <v>41</v>
      </c>
      <c r="J111" s="8">
        <v>1913419605.9608393</v>
      </c>
      <c r="K111" s="8">
        <v>211776554.03916073</v>
      </c>
      <c r="L111" s="8">
        <v>0.33571859790928033</v>
      </c>
      <c r="N111" s="8">
        <v>43.085106382978722</v>
      </c>
      <c r="O111" s="8">
        <v>1316335610</v>
      </c>
    </row>
    <row r="112" spans="2:15" x14ac:dyDescent="0.2">
      <c r="I112" s="8">
        <v>42</v>
      </c>
      <c r="J112" s="8">
        <v>1830827202.5057325</v>
      </c>
      <c r="K112" s="8">
        <v>-443055872.50573254</v>
      </c>
      <c r="L112" s="8">
        <v>-0.70235393614721253</v>
      </c>
      <c r="N112" s="8">
        <v>44.148936170212764</v>
      </c>
      <c r="O112" s="8">
        <v>1324478990</v>
      </c>
    </row>
    <row r="113" spans="9:15" x14ac:dyDescent="0.2">
      <c r="I113" s="8">
        <v>43</v>
      </c>
      <c r="J113" s="8">
        <v>1826793833.1916096</v>
      </c>
      <c r="K113" s="8">
        <v>-275953703.19160962</v>
      </c>
      <c r="L113" s="8">
        <v>-0.43745536772795823</v>
      </c>
      <c r="N113" s="8">
        <v>45.212765957446805</v>
      </c>
      <c r="O113" s="8">
        <v>1359045230</v>
      </c>
    </row>
    <row r="114" spans="9:15" x14ac:dyDescent="0.2">
      <c r="I114" s="8">
        <v>44</v>
      </c>
      <c r="J114" s="8">
        <v>1770418330.2783015</v>
      </c>
      <c r="K114" s="8">
        <v>-545765150.27830148</v>
      </c>
      <c r="L114" s="8">
        <v>-0.86517372931329417</v>
      </c>
      <c r="N114" s="8">
        <v>46.276595744680847</v>
      </c>
      <c r="O114" s="8">
        <v>1387771330</v>
      </c>
    </row>
    <row r="115" spans="9:15" x14ac:dyDescent="0.2">
      <c r="I115" s="8">
        <v>45</v>
      </c>
      <c r="J115" s="8">
        <v>1730542974.5591323</v>
      </c>
      <c r="K115" s="8">
        <v>-579668864.55913234</v>
      </c>
      <c r="L115" s="8">
        <v>-0.91891956285902576</v>
      </c>
      <c r="N115" s="8">
        <v>47.340425531914896</v>
      </c>
      <c r="O115" s="8">
        <v>1414145480</v>
      </c>
    </row>
    <row r="116" spans="9:15" x14ac:dyDescent="0.2">
      <c r="I116" s="8">
        <v>46</v>
      </c>
      <c r="J116" s="8">
        <v>1713676157.427346</v>
      </c>
      <c r="K116" s="8">
        <v>-595067957.42734599</v>
      </c>
      <c r="L116" s="8">
        <v>-0.94333096142128359</v>
      </c>
      <c r="N116" s="8">
        <v>48.404255319148938</v>
      </c>
      <c r="O116" s="8">
        <v>1427259190</v>
      </c>
    </row>
    <row r="117" spans="9:15" x14ac:dyDescent="0.2">
      <c r="I117" s="8">
        <v>47</v>
      </c>
      <c r="J117" s="8">
        <v>1711384470.3170488</v>
      </c>
      <c r="K117" s="8">
        <v>-462277530.31704879</v>
      </c>
      <c r="L117" s="8">
        <v>-0.73282505245744289</v>
      </c>
      <c r="N117" s="8">
        <v>49.468085106382979</v>
      </c>
      <c r="O117" s="8">
        <v>1510458530</v>
      </c>
    </row>
    <row r="118" spans="9:15" x14ac:dyDescent="0.2">
      <c r="I118" s="8">
        <v>48</v>
      </c>
      <c r="J118" s="8">
        <v>1694792655.6384978</v>
      </c>
      <c r="K118" s="8">
        <v>-917447625.63849783</v>
      </c>
      <c r="L118" s="8">
        <v>-1.4543830497761339</v>
      </c>
      <c r="N118" s="8">
        <v>50.531914893617021</v>
      </c>
      <c r="O118" s="8">
        <v>1514417130</v>
      </c>
    </row>
    <row r="119" spans="9:15" x14ac:dyDescent="0.2">
      <c r="I119" s="8">
        <v>49</v>
      </c>
      <c r="J119" s="8">
        <v>1616600291.4351616</v>
      </c>
      <c r="K119" s="8">
        <v>-791142631.43516159</v>
      </c>
      <c r="L119" s="8">
        <v>-1.2541581676815707</v>
      </c>
      <c r="N119" s="8">
        <v>51.595744680851062</v>
      </c>
      <c r="O119" s="8">
        <v>1522268370</v>
      </c>
    </row>
    <row r="120" spans="9:15" x14ac:dyDescent="0.2">
      <c r="I120" s="8">
        <v>50</v>
      </c>
      <c r="J120" s="8">
        <v>1615958619.0442784</v>
      </c>
      <c r="K120" s="8">
        <v>-798945119.04427838</v>
      </c>
      <c r="L120" s="8">
        <v>-1.2665270543707594</v>
      </c>
      <c r="N120" s="8">
        <v>52.659574468085104</v>
      </c>
      <c r="O120" s="8">
        <v>1550840130</v>
      </c>
    </row>
    <row r="121" spans="9:15" x14ac:dyDescent="0.2">
      <c r="I121" s="8">
        <v>51</v>
      </c>
      <c r="J121" s="8">
        <v>1591208398.2530701</v>
      </c>
      <c r="K121" s="8">
        <v>-477256438.25307012</v>
      </c>
      <c r="L121" s="8">
        <v>-0.75657035322177302</v>
      </c>
      <c r="N121" s="8">
        <v>53.723404255319146</v>
      </c>
      <c r="O121" s="8">
        <v>1563416090</v>
      </c>
    </row>
    <row r="122" spans="9:15" x14ac:dyDescent="0.2">
      <c r="I122" s="8">
        <v>52</v>
      </c>
      <c r="J122" s="8">
        <v>1581124974.9677627</v>
      </c>
      <c r="K122" s="8">
        <v>-600436754.96776271</v>
      </c>
      <c r="L122" s="8">
        <v>-0.95184184304793529</v>
      </c>
      <c r="N122" s="8">
        <v>54.787234042553187</v>
      </c>
      <c r="O122" s="8">
        <v>1567568800</v>
      </c>
    </row>
    <row r="123" spans="9:15" x14ac:dyDescent="0.2">
      <c r="I123" s="8">
        <v>53</v>
      </c>
      <c r="J123" s="8">
        <v>1537766254.8409421</v>
      </c>
      <c r="K123" s="8">
        <v>-480873914.84094214</v>
      </c>
      <c r="L123" s="8">
        <v>-0.76230495483317451</v>
      </c>
      <c r="N123" s="8">
        <v>55.851063829787229</v>
      </c>
      <c r="O123" s="8">
        <v>1567685270</v>
      </c>
    </row>
    <row r="124" spans="9:15" x14ac:dyDescent="0.2">
      <c r="I124" s="8">
        <v>54</v>
      </c>
      <c r="J124" s="8">
        <v>1531624533.3853462</v>
      </c>
      <c r="K124" s="8">
        <v>-566105983.38534617</v>
      </c>
      <c r="L124" s="8">
        <v>-0.89741901728667839</v>
      </c>
      <c r="N124" s="8">
        <v>56.914893617021278</v>
      </c>
      <c r="O124" s="8">
        <v>1576313810</v>
      </c>
    </row>
    <row r="125" spans="9:15" x14ac:dyDescent="0.2">
      <c r="I125" s="8">
        <v>55</v>
      </c>
      <c r="J125" s="8">
        <v>1467457294.2970278</v>
      </c>
      <c r="K125" s="8">
        <v>-477842814.29702783</v>
      </c>
      <c r="L125" s="8">
        <v>-0.75749990533493405</v>
      </c>
      <c r="N125" s="8">
        <v>57.978723404255319</v>
      </c>
      <c r="O125" s="8">
        <v>1603984540</v>
      </c>
    </row>
    <row r="126" spans="9:15" x14ac:dyDescent="0.2">
      <c r="I126" s="8">
        <v>56</v>
      </c>
      <c r="J126" s="8">
        <v>1457832208.43378</v>
      </c>
      <c r="K126" s="8">
        <v>-253365188.43377995</v>
      </c>
      <c r="L126" s="8">
        <v>-0.40164694437459036</v>
      </c>
      <c r="N126" s="8">
        <v>59.042553191489361</v>
      </c>
      <c r="O126" s="8">
        <v>1612212000</v>
      </c>
    </row>
    <row r="127" spans="9:15" x14ac:dyDescent="0.2">
      <c r="I127" s="8">
        <v>57</v>
      </c>
      <c r="J127" s="8">
        <v>1377623159.5733824</v>
      </c>
      <c r="K127" s="8">
        <v>396535920.42661762</v>
      </c>
      <c r="L127" s="8">
        <v>0.62860822261596183</v>
      </c>
      <c r="N127" s="8">
        <v>60.106382978723403</v>
      </c>
      <c r="O127" s="8">
        <v>1659044880</v>
      </c>
    </row>
    <row r="128" spans="9:15" x14ac:dyDescent="0.2">
      <c r="I128" s="8">
        <v>58</v>
      </c>
      <c r="J128" s="8">
        <v>1363781369.4271879</v>
      </c>
      <c r="K128" s="8">
        <v>-297746939.42718792</v>
      </c>
      <c r="L128" s="8">
        <v>-0.47200307649632905</v>
      </c>
      <c r="N128" s="8">
        <v>61.170212765957444</v>
      </c>
      <c r="O128" s="8">
        <v>1691490080</v>
      </c>
    </row>
    <row r="129" spans="9:15" x14ac:dyDescent="0.2">
      <c r="I129" s="8">
        <v>59</v>
      </c>
      <c r="J129" s="8">
        <v>1338206141.2762725</v>
      </c>
      <c r="K129" s="8">
        <v>-190645371.27627254</v>
      </c>
      <c r="L129" s="8">
        <v>-0.30222040883208079</v>
      </c>
      <c r="N129" s="8">
        <v>62.234042553191486</v>
      </c>
      <c r="O129" s="8">
        <v>1721040080</v>
      </c>
    </row>
    <row r="130" spans="9:15" x14ac:dyDescent="0.2">
      <c r="I130" s="8">
        <v>60</v>
      </c>
      <c r="J130" s="8">
        <v>1329864400.1947911</v>
      </c>
      <c r="K130" s="8">
        <v>1671872259.8052089</v>
      </c>
      <c r="L130" s="8">
        <v>2.6503340442560783</v>
      </c>
      <c r="N130" s="8">
        <v>63.297872340425528</v>
      </c>
      <c r="O130" s="8">
        <v>1723030800</v>
      </c>
    </row>
    <row r="131" spans="9:15" x14ac:dyDescent="0.2">
      <c r="I131" s="8">
        <v>61</v>
      </c>
      <c r="J131" s="8">
        <v>1306122521.7321134</v>
      </c>
      <c r="K131" s="8">
        <v>503417298.26788664</v>
      </c>
      <c r="L131" s="8">
        <v>0.79804183378354987</v>
      </c>
      <c r="N131" s="8">
        <v>64.361702127659584</v>
      </c>
      <c r="O131" s="8">
        <v>1723351580</v>
      </c>
    </row>
    <row r="132" spans="9:15" x14ac:dyDescent="0.2">
      <c r="I132" s="8">
        <v>62</v>
      </c>
      <c r="J132" s="8">
        <v>1282930648.1759069</v>
      </c>
      <c r="K132" s="8">
        <v>-339094918.1759069</v>
      </c>
      <c r="L132" s="8">
        <v>-0.53754992380850031</v>
      </c>
      <c r="N132" s="8">
        <v>65.425531914893625</v>
      </c>
      <c r="O132" s="8">
        <v>1768222700</v>
      </c>
    </row>
    <row r="133" spans="9:15" x14ac:dyDescent="0.2">
      <c r="I133" s="8">
        <v>63</v>
      </c>
      <c r="J133" s="8">
        <v>1269455527.96736</v>
      </c>
      <c r="K133" s="8">
        <v>-523885517.96736002</v>
      </c>
      <c r="L133" s="8">
        <v>-0.83048906124167376</v>
      </c>
      <c r="N133" s="8">
        <v>66.489361702127667</v>
      </c>
      <c r="O133" s="8">
        <v>1774159080</v>
      </c>
    </row>
    <row r="134" spans="9:15" x14ac:dyDescent="0.2">
      <c r="I134" s="8">
        <v>64</v>
      </c>
      <c r="J134" s="8">
        <v>1267622178.2791226</v>
      </c>
      <c r="K134" s="8">
        <v>299946621.72087741</v>
      </c>
      <c r="L134" s="8">
        <v>0.47549012093726728</v>
      </c>
      <c r="N134" s="8">
        <v>67.553191489361708</v>
      </c>
      <c r="O134" s="8">
        <v>1809539820</v>
      </c>
    </row>
    <row r="135" spans="9:15" x14ac:dyDescent="0.2">
      <c r="I135" s="8">
        <v>65</v>
      </c>
      <c r="J135" s="8">
        <v>1237830245.8452604</v>
      </c>
      <c r="K135" s="8">
        <v>530392454.15473962</v>
      </c>
      <c r="L135" s="8">
        <v>0.84080417616751346</v>
      </c>
      <c r="N135" s="8">
        <v>68.61702127659575</v>
      </c>
      <c r="O135" s="8">
        <v>1830904250</v>
      </c>
    </row>
    <row r="136" spans="9:15" x14ac:dyDescent="0.2">
      <c r="I136" s="8">
        <v>66</v>
      </c>
      <c r="J136" s="8">
        <v>1208038313.4113984</v>
      </c>
      <c r="K136" s="8">
        <v>151006916.58860159</v>
      </c>
      <c r="L136" s="8">
        <v>0.23938358304930457</v>
      </c>
      <c r="N136" s="8">
        <v>69.680851063829792</v>
      </c>
      <c r="O136" s="8">
        <v>1880909280</v>
      </c>
    </row>
    <row r="137" spans="9:15" x14ac:dyDescent="0.2">
      <c r="I137" s="8">
        <v>67</v>
      </c>
      <c r="J137" s="8">
        <v>1183104757.6513662</v>
      </c>
      <c r="K137" s="8">
        <v>339163612.34863377</v>
      </c>
      <c r="L137" s="8">
        <v>0.53765882118600772</v>
      </c>
      <c r="N137" s="8">
        <v>70.744680851063833</v>
      </c>
      <c r="O137" s="8">
        <v>1885405260</v>
      </c>
    </row>
    <row r="138" spans="9:15" x14ac:dyDescent="0.2">
      <c r="I138" s="8">
        <v>68</v>
      </c>
      <c r="J138" s="8">
        <v>1182188082.8072474</v>
      </c>
      <c r="K138" s="8">
        <v>540842717.1927526</v>
      </c>
      <c r="L138" s="8">
        <v>0.85737044655009864</v>
      </c>
      <c r="N138" s="8">
        <v>71.808510638297875</v>
      </c>
      <c r="O138" s="8">
        <v>1926407650</v>
      </c>
    </row>
    <row r="139" spans="9:15" x14ac:dyDescent="0.2">
      <c r="I139" s="8">
        <v>69</v>
      </c>
      <c r="J139" s="8">
        <v>1141121049.7907236</v>
      </c>
      <c r="K139" s="8">
        <v>175214560.20927644</v>
      </c>
      <c r="L139" s="8">
        <v>0.27775872902281823</v>
      </c>
      <c r="N139" s="8">
        <v>72.872340425531917</v>
      </c>
      <c r="O139" s="8">
        <v>1935002670</v>
      </c>
    </row>
    <row r="140" spans="9:15" x14ac:dyDescent="0.2">
      <c r="I140" s="8">
        <v>70</v>
      </c>
      <c r="J140" s="8">
        <v>1080437175.1100574</v>
      </c>
      <c r="K140" s="8">
        <v>-8486825.110057354</v>
      </c>
      <c r="L140" s="8">
        <v>-1.3453732116742587E-2</v>
      </c>
      <c r="N140" s="8">
        <v>73.936170212765958</v>
      </c>
      <c r="O140" s="8">
        <v>1959737430</v>
      </c>
    </row>
    <row r="141" spans="9:15" x14ac:dyDescent="0.2">
      <c r="I141" s="8">
        <v>71</v>
      </c>
      <c r="J141" s="8">
        <v>1076403805.7959342</v>
      </c>
      <c r="K141" s="8">
        <v>155886244.2040658</v>
      </c>
      <c r="L141" s="8">
        <v>0.24711853290357774</v>
      </c>
      <c r="N141" s="8">
        <v>75</v>
      </c>
      <c r="O141" s="8">
        <v>2008042110</v>
      </c>
    </row>
    <row r="142" spans="9:15" x14ac:dyDescent="0.2">
      <c r="I142" s="8">
        <v>72</v>
      </c>
      <c r="J142" s="8">
        <v>1048536890.5347219</v>
      </c>
      <c r="K142" s="8">
        <v>133032269.46527815</v>
      </c>
      <c r="L142" s="8">
        <v>0.21088928934651646</v>
      </c>
      <c r="N142" s="8">
        <v>76.063829787234042</v>
      </c>
      <c r="O142" s="8">
        <v>2008494660</v>
      </c>
    </row>
    <row r="143" spans="9:15" x14ac:dyDescent="0.2">
      <c r="I143" s="8">
        <v>73</v>
      </c>
      <c r="J143" s="8">
        <v>1047620215.690603</v>
      </c>
      <c r="K143" s="8">
        <v>35559864.309396982</v>
      </c>
      <c r="L143" s="8">
        <v>5.6371243936604407E-2</v>
      </c>
      <c r="N143" s="8">
        <v>77.127659574468083</v>
      </c>
      <c r="O143" s="8">
        <v>2030051460</v>
      </c>
    </row>
    <row r="144" spans="9:15" x14ac:dyDescent="0.2">
      <c r="I144" s="8">
        <v>74</v>
      </c>
      <c r="J144" s="8">
        <v>1014894923.7555606</v>
      </c>
      <c r="K144" s="8">
        <v>73188036.244439363</v>
      </c>
      <c r="L144" s="8">
        <v>0.11602127073601026</v>
      </c>
      <c r="N144" s="8">
        <v>78.191489361702139</v>
      </c>
      <c r="O144" s="8">
        <v>2060145470</v>
      </c>
    </row>
    <row r="145" spans="9:15" x14ac:dyDescent="0.2">
      <c r="I145" s="8">
        <v>75</v>
      </c>
      <c r="J145" s="8">
        <v>1007653192.4870217</v>
      </c>
      <c r="K145" s="8">
        <v>36045637.512978315</v>
      </c>
      <c r="L145" s="8">
        <v>5.7141315484647764E-2</v>
      </c>
      <c r="N145" s="8">
        <v>79.255319148936181</v>
      </c>
      <c r="O145" s="8">
        <v>2125196160</v>
      </c>
    </row>
    <row r="146" spans="9:15" x14ac:dyDescent="0.2">
      <c r="I146" s="8">
        <v>76</v>
      </c>
      <c r="J146" s="8">
        <v>1005728175.3143723</v>
      </c>
      <c r="K146" s="8">
        <v>-890323765.3143723</v>
      </c>
      <c r="L146" s="8">
        <v>-1.4113849738124522</v>
      </c>
      <c r="N146" s="8">
        <v>80.319148936170222</v>
      </c>
      <c r="O146" s="8">
        <v>2184006710</v>
      </c>
    </row>
    <row r="147" spans="9:15" x14ac:dyDescent="0.2">
      <c r="I147" s="8">
        <v>77</v>
      </c>
      <c r="J147" s="8">
        <v>990786375.35523558</v>
      </c>
      <c r="K147" s="8">
        <v>34075604.644764423</v>
      </c>
      <c r="L147" s="8">
        <v>5.4018322595502599E-2</v>
      </c>
      <c r="N147" s="8">
        <v>81.382978723404264</v>
      </c>
      <c r="O147" s="8">
        <v>2286927960</v>
      </c>
    </row>
    <row r="148" spans="9:15" x14ac:dyDescent="0.2">
      <c r="I148" s="8">
        <v>78</v>
      </c>
      <c r="J148" s="8">
        <v>989411363.08905721</v>
      </c>
      <c r="K148" s="8">
        <v>264984216.91094279</v>
      </c>
      <c r="L148" s="8">
        <v>0.42006599915201298</v>
      </c>
      <c r="N148" s="8">
        <v>82.446808510638306</v>
      </c>
      <c r="O148" s="8">
        <v>2377768000</v>
      </c>
    </row>
    <row r="149" spans="9:15" x14ac:dyDescent="0.2">
      <c r="I149" s="8">
        <v>79</v>
      </c>
      <c r="J149" s="8">
        <v>981894629.36728287</v>
      </c>
      <c r="K149" s="8">
        <v>585790640.63271713</v>
      </c>
      <c r="L149" s="8">
        <v>0.92862410304980836</v>
      </c>
      <c r="N149" s="8">
        <v>83.510638297872347</v>
      </c>
      <c r="O149" s="8">
        <v>2488111940</v>
      </c>
    </row>
    <row r="150" spans="9:15" x14ac:dyDescent="0.2">
      <c r="I150" s="8">
        <v>80</v>
      </c>
      <c r="J150" s="8">
        <v>981619626.91404724</v>
      </c>
      <c r="K150" s="8">
        <v>-298315056.91404724</v>
      </c>
      <c r="L150" s="8">
        <v>-0.47290368424774659</v>
      </c>
      <c r="N150" s="8">
        <v>84.574468085106389</v>
      </c>
      <c r="O150" s="8">
        <v>2551370010</v>
      </c>
    </row>
    <row r="151" spans="9:15" x14ac:dyDescent="0.2">
      <c r="I151" s="8">
        <v>81</v>
      </c>
      <c r="J151" s="8">
        <v>973369553.31697774</v>
      </c>
      <c r="K151" s="8">
        <v>351109436.68302226</v>
      </c>
      <c r="L151" s="8">
        <v>0.55659592881157549</v>
      </c>
      <c r="N151" s="8">
        <v>85.638297872340431</v>
      </c>
      <c r="O151" s="8">
        <v>2690621070</v>
      </c>
    </row>
    <row r="152" spans="9:15" x14ac:dyDescent="0.2">
      <c r="I152" s="8">
        <v>82</v>
      </c>
      <c r="J152" s="8">
        <v>965211147.20431995</v>
      </c>
      <c r="K152" s="8">
        <v>1412556852.79568</v>
      </c>
      <c r="L152" s="8">
        <v>2.239254521064785</v>
      </c>
      <c r="N152" s="8">
        <v>86.702127659574472</v>
      </c>
      <c r="O152" s="8">
        <v>2691982770</v>
      </c>
    </row>
    <row r="153" spans="9:15" x14ac:dyDescent="0.2">
      <c r="I153" s="8">
        <v>83</v>
      </c>
      <c r="J153" s="8">
        <v>958611088.32666445</v>
      </c>
      <c r="K153" s="8">
        <v>-161746298.32666445</v>
      </c>
      <c r="L153" s="8">
        <v>-0.25640817859942527</v>
      </c>
      <c r="N153" s="8">
        <v>87.765957446808514</v>
      </c>
      <c r="O153" s="8">
        <v>2785656310</v>
      </c>
    </row>
    <row r="154" spans="9:15" x14ac:dyDescent="0.2">
      <c r="I154" s="8">
        <v>84</v>
      </c>
      <c r="J154" s="8">
        <v>907918969.44689298</v>
      </c>
      <c r="K154" s="8">
        <v>121256400.55310702</v>
      </c>
      <c r="L154" s="8">
        <v>0.1922216034060486</v>
      </c>
      <c r="N154" s="8">
        <v>88.829787234042556</v>
      </c>
      <c r="O154" s="8">
        <v>2849625200</v>
      </c>
    </row>
    <row r="155" spans="9:15" x14ac:dyDescent="0.2">
      <c r="I155" s="8">
        <v>85</v>
      </c>
      <c r="J155" s="8">
        <v>906818959.63395023</v>
      </c>
      <c r="K155" s="8">
        <v>13003830.366049767</v>
      </c>
      <c r="L155" s="8">
        <v>2.0614310766115685E-2</v>
      </c>
      <c r="N155" s="8">
        <v>89.893617021276597</v>
      </c>
      <c r="O155" s="8">
        <v>2891411920</v>
      </c>
    </row>
    <row r="156" spans="9:15" x14ac:dyDescent="0.2">
      <c r="I156" s="8">
        <v>86</v>
      </c>
      <c r="J156" s="8">
        <v>905627282.33659577</v>
      </c>
      <c r="K156" s="8">
        <v>-125580702.33659577</v>
      </c>
      <c r="L156" s="8">
        <v>-0.19907669904341077</v>
      </c>
      <c r="N156" s="8">
        <v>90.957446808510639</v>
      </c>
      <c r="O156" s="8">
        <v>2905609940</v>
      </c>
    </row>
    <row r="157" spans="9:15" x14ac:dyDescent="0.2">
      <c r="I157" s="8">
        <v>87</v>
      </c>
      <c r="J157" s="8">
        <v>901135575.6004138</v>
      </c>
      <c r="K157" s="8">
        <v>-258060975.6004138</v>
      </c>
      <c r="L157" s="8">
        <v>-0.40909093689215298</v>
      </c>
      <c r="N157" s="8">
        <v>92.021276595744681</v>
      </c>
      <c r="O157" s="8">
        <v>3001439250</v>
      </c>
    </row>
    <row r="158" spans="9:15" x14ac:dyDescent="0.2">
      <c r="I158" s="8">
        <v>88</v>
      </c>
      <c r="J158" s="8">
        <v>892793834.51893234</v>
      </c>
      <c r="K158" s="8">
        <v>1599205.4810676575</v>
      </c>
      <c r="L158" s="8">
        <v>2.5351390965290344E-3</v>
      </c>
      <c r="N158" s="8">
        <v>93.085106382978722</v>
      </c>
      <c r="O158" s="8">
        <v>3001736660</v>
      </c>
    </row>
    <row r="159" spans="9:15" x14ac:dyDescent="0.2">
      <c r="I159" s="8">
        <v>89</v>
      </c>
      <c r="J159" s="8">
        <v>859243535.22418308</v>
      </c>
      <c r="K159" s="8">
        <v>163761444.77581692</v>
      </c>
      <c r="L159" s="8">
        <v>0.25960268775347561</v>
      </c>
      <c r="N159" s="8">
        <v>94.148936170212778</v>
      </c>
      <c r="O159" s="8">
        <v>3076887590</v>
      </c>
    </row>
    <row r="160" spans="9:15" x14ac:dyDescent="0.2">
      <c r="I160" s="8">
        <v>90</v>
      </c>
      <c r="J160" s="8">
        <v>734117419.00196266</v>
      </c>
      <c r="K160" s="8">
        <v>13020100.998037338</v>
      </c>
      <c r="L160" s="8">
        <v>2.0640103771308108E-2</v>
      </c>
      <c r="N160" s="8">
        <v>95.21276595744682</v>
      </c>
      <c r="O160" s="8">
        <v>3217030850</v>
      </c>
    </row>
    <row r="161" spans="9:15" x14ac:dyDescent="0.2">
      <c r="I161" s="8">
        <v>91</v>
      </c>
      <c r="J161" s="8">
        <v>721558973.63753462</v>
      </c>
      <c r="K161" s="8">
        <v>272145896.36246538</v>
      </c>
      <c r="L161" s="8">
        <v>0.43141904526728919</v>
      </c>
      <c r="N161" s="8">
        <v>96.276595744680861</v>
      </c>
      <c r="O161" s="8">
        <v>3583789870</v>
      </c>
    </row>
    <row r="162" spans="9:15" x14ac:dyDescent="0.2">
      <c r="I162" s="8">
        <v>92</v>
      </c>
      <c r="J162" s="8">
        <v>710742210.47693253</v>
      </c>
      <c r="K162" s="8">
        <v>-44398090.476932526</v>
      </c>
      <c r="L162" s="8">
        <v>-7.0382034273770211E-2</v>
      </c>
      <c r="N162" s="8">
        <v>97.340425531914903</v>
      </c>
      <c r="O162" s="8">
        <v>4013046200</v>
      </c>
    </row>
    <row r="163" spans="9:15" x14ac:dyDescent="0.2">
      <c r="I163" s="8">
        <v>93</v>
      </c>
      <c r="J163" s="8">
        <v>621366413.17534637</v>
      </c>
      <c r="K163" s="8">
        <v>218702306.82465363</v>
      </c>
      <c r="L163" s="8">
        <v>0.34669764148264032</v>
      </c>
      <c r="N163" s="8">
        <v>98.404255319148945</v>
      </c>
      <c r="O163" s="8">
        <v>4337561310</v>
      </c>
    </row>
    <row r="164" spans="9:15" ht="17" thickBot="1" x14ac:dyDescent="0.25">
      <c r="I164" s="9">
        <v>94</v>
      </c>
      <c r="J164" s="9">
        <v>548949100.48995876</v>
      </c>
      <c r="K164" s="9">
        <v>483115289.51004124</v>
      </c>
      <c r="L164" s="9">
        <v>0.76585809207593181</v>
      </c>
      <c r="N164" s="9">
        <v>99.468085106382986</v>
      </c>
      <c r="O164" s="9">
        <v>4898591710</v>
      </c>
    </row>
  </sheetData>
  <sortState xmlns:xlrd2="http://schemas.microsoft.com/office/spreadsheetml/2017/richdata2" ref="O71:O164">
    <sortCondition ref="O71"/>
  </sortState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DBE2-E229-054C-AD80-0349C463BCC4}">
  <dimension ref="A1:Q164"/>
  <sheetViews>
    <sheetView zoomScale="56" zoomScaleNormal="56" workbookViewId="0">
      <selection activeCell="K38" sqref="K38"/>
    </sheetView>
  </sheetViews>
  <sheetFormatPr baseColWidth="10" defaultRowHeight="16" x14ac:dyDescent="0.2"/>
  <cols>
    <col min="1" max="4" width="20.83203125" customWidth="1"/>
    <col min="5" max="5" width="28.6640625" customWidth="1"/>
    <col min="6" max="7" width="20.83203125" customWidth="1"/>
    <col min="9" max="9" width="17.33203125" customWidth="1"/>
    <col min="10" max="10" width="21.1640625" customWidth="1"/>
    <col min="11" max="11" width="23.5" customWidth="1"/>
    <col min="13" max="13" width="13.83203125" bestFit="1" customWidth="1"/>
  </cols>
  <sheetData>
    <row r="1" spans="1:13" x14ac:dyDescent="0.2">
      <c r="A1" s="18" t="s">
        <v>2</v>
      </c>
      <c r="B1" s="19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1" t="s">
        <v>8</v>
      </c>
    </row>
    <row r="2" spans="1:13" x14ac:dyDescent="0.2">
      <c r="A2" s="14">
        <v>143.69999999999999</v>
      </c>
      <c r="B2" s="15">
        <v>638968460</v>
      </c>
      <c r="C2">
        <f>k1_*ГАЗПРОМ_1[[#This Row],[Газпром-цена]]+k0</f>
        <v>1728709624.8708887</v>
      </c>
      <c r="D2" s="23">
        <f>ГАЗПРОМ_1[[#This Row],[Газпром-объем]]-ГАЗПРОМ_1[[#This Row],[h=k1*x+k0]]</f>
        <v>-1089741164.8708887</v>
      </c>
      <c r="E2" s="23">
        <f>ГАЗПРОМ_1[[#This Row],[y-h]]^2</f>
        <v>1.1875358064141614E+18</v>
      </c>
      <c r="F2">
        <f>ГАЗПРОМ_1[[#This Row],[Газпром-цена]]^2</f>
        <v>20649.689999999995</v>
      </c>
      <c r="G2">
        <f>ГАЗПРОМ_1[[#This Row],[Газпром-цена]]*ГАЗПРОМ_1[[#This Row],[Газпром-объем]]</f>
        <v>91819767702</v>
      </c>
    </row>
    <row r="3" spans="1:13" x14ac:dyDescent="0.2">
      <c r="A3" s="14">
        <v>142.09</v>
      </c>
      <c r="B3" s="15">
        <v>495283520</v>
      </c>
      <c r="C3">
        <f>k1_*ГАЗПРОМ_1[[#This Row],[Газпром-цена]]+k0</f>
        <v>1743468089.8612018</v>
      </c>
      <c r="D3" s="23">
        <f>ГАЗПРОМ_1[[#This Row],[Газпром-объем]]-ГАЗПРОМ_1[[#This Row],[h=k1*x+k0]]</f>
        <v>-1248184569.8612018</v>
      </c>
      <c r="E3" s="23">
        <f>ГАЗПРОМ_1[[#This Row],[y-h]]^2</f>
        <v>1.5579647204395932E+18</v>
      </c>
      <c r="F3">
        <f>ГАЗПРОМ_1[[#This Row],[Газпром-цена]]^2</f>
        <v>20189.5681</v>
      </c>
      <c r="G3">
        <f>ГАЗПРОМ_1[[#This Row],[Газпром-цена]]*ГАЗПРОМ_1[[#This Row],[Газпром-объем]]</f>
        <v>70374835356.800003</v>
      </c>
    </row>
    <row r="4" spans="1:13" x14ac:dyDescent="0.2">
      <c r="A4" s="14">
        <v>137.4</v>
      </c>
      <c r="B4" s="15">
        <v>733770920</v>
      </c>
      <c r="C4">
        <f>k1_*ГАЗПРОМ_1[[#This Row],[Газпром-цена]]+k0</f>
        <v>1786460140.0503752</v>
      </c>
      <c r="D4" s="23">
        <f>ГАЗПРОМ_1[[#This Row],[Газпром-объем]]-ГАЗПРОМ_1[[#This Row],[h=k1*x+k0]]</f>
        <v>-1052689220.0503752</v>
      </c>
      <c r="E4" s="23">
        <f>ГАЗПРОМ_1[[#This Row],[y-h]]^2</f>
        <v>1.1081545940102673E+18</v>
      </c>
      <c r="F4">
        <f>ГАЗПРОМ_1[[#This Row],[Газпром-цена]]^2</f>
        <v>18878.760000000002</v>
      </c>
      <c r="G4">
        <f>ГАЗПРОМ_1[[#This Row],[Газпром-цена]]*ГАЗПРОМ_1[[#This Row],[Газпром-объем]]</f>
        <v>100820124408</v>
      </c>
    </row>
    <row r="5" spans="1:13" x14ac:dyDescent="0.2">
      <c r="A5" s="14">
        <v>134.08000000000001</v>
      </c>
      <c r="B5" s="15">
        <v>953973070</v>
      </c>
      <c r="C5">
        <f>k1_*ГАЗПРОМ_1[[#This Row],[Газпром-цена]]+k0</f>
        <v>1816893744.8751204</v>
      </c>
      <c r="D5" s="23">
        <f>ГАЗПРОМ_1[[#This Row],[Газпром-объем]]-ГАЗПРОМ_1[[#This Row],[h=k1*x+k0]]</f>
        <v>-862920674.8751204</v>
      </c>
      <c r="E5" s="23">
        <f>ГАЗПРОМ_1[[#This Row],[y-h]]^2</f>
        <v>7.4463209112693325E+17</v>
      </c>
      <c r="F5">
        <f>ГАЗПРОМ_1[[#This Row],[Газпром-цена]]^2</f>
        <v>17977.446400000004</v>
      </c>
      <c r="G5">
        <f>ГАЗПРОМ_1[[#This Row],[Газпром-цена]]*ГАЗПРОМ_1[[#This Row],[Газпром-объем]]</f>
        <v>127908709225.60001</v>
      </c>
    </row>
    <row r="6" spans="1:13" x14ac:dyDescent="0.2">
      <c r="A6" s="14">
        <v>124.15</v>
      </c>
      <c r="B6" s="15">
        <v>986321760</v>
      </c>
      <c r="C6">
        <f>k1_*ГАЗПРОМ_1[[#This Row],[Газпром-цена]]+k0</f>
        <v>1907919556.896121</v>
      </c>
      <c r="D6" s="23">
        <f>ГАЗПРОМ_1[[#This Row],[Газпром-объем]]-ГАЗПРОМ_1[[#This Row],[h=k1*x+k0]]</f>
        <v>-921597796.89612103</v>
      </c>
      <c r="E6" s="23">
        <f>ГАЗПРОМ_1[[#This Row],[y-h]]^2</f>
        <v>8.4934249924378394E+17</v>
      </c>
      <c r="F6">
        <f>ГАЗПРОМ_1[[#This Row],[Газпром-цена]]^2</f>
        <v>15413.222500000002</v>
      </c>
      <c r="G6">
        <f>ГАЗПРОМ_1[[#This Row],[Газпром-цена]]*ГАЗПРОМ_1[[#This Row],[Газпром-объем]]</f>
        <v>122451846504</v>
      </c>
      <c r="I6" s="12" t="s">
        <v>9</v>
      </c>
      <c r="J6" s="13">
        <f>I41</f>
        <v>402830406.64225376</v>
      </c>
      <c r="K6" s="12"/>
      <c r="L6" s="12" t="s">
        <v>10</v>
      </c>
      <c r="M6" s="13">
        <f>I40</f>
        <v>2362079.1322130114</v>
      </c>
    </row>
    <row r="7" spans="1:13" x14ac:dyDescent="0.2">
      <c r="A7" s="14">
        <v>123.4</v>
      </c>
      <c r="B7" s="15">
        <v>813775000</v>
      </c>
      <c r="C7">
        <f>k1_*ГАЗПРОМ_1[[#This Row],[Газпром-цена]]+k0</f>
        <v>1914794618.2270122</v>
      </c>
      <c r="D7" s="23">
        <f>ГАЗПРОМ_1[[#This Row],[Газпром-объем]]-ГАЗПРОМ_1[[#This Row],[h=k1*x+k0]]</f>
        <v>-1101019618.2270122</v>
      </c>
      <c r="E7" s="23">
        <f>ГАЗПРОМ_1[[#This Row],[y-h]]^2</f>
        <v>1.2122441997207557E+18</v>
      </c>
      <c r="F7">
        <f>ГАЗПРОМ_1[[#This Row],[Газпром-цена]]^2</f>
        <v>15227.560000000001</v>
      </c>
      <c r="G7">
        <f>ГАЗПРОМ_1[[#This Row],[Газпром-цена]]*ГАЗПРОМ_1[[#This Row],[Газпром-объем]]</f>
        <v>100419835000</v>
      </c>
    </row>
    <row r="8" spans="1:13" x14ac:dyDescent="0.2">
      <c r="A8" s="14">
        <v>109.1</v>
      </c>
      <c r="B8" s="15">
        <v>769293390</v>
      </c>
      <c r="C8">
        <f>k1_*ГАЗПРОМ_1[[#This Row],[Газпром-цена]]+k0</f>
        <v>2045879120.9360058</v>
      </c>
      <c r="D8" s="23">
        <f>ГАЗПРОМ_1[[#This Row],[Газпром-объем]]-ГАЗПРОМ_1[[#This Row],[h=k1*x+k0]]</f>
        <v>-1276585730.9360058</v>
      </c>
      <c r="E8" s="23">
        <f>ГАЗПРОМ_1[[#This Row],[y-h]]^2</f>
        <v>1.6296711284294162E+18</v>
      </c>
      <c r="F8">
        <f>ГАЗПРОМ_1[[#This Row],[Газпром-цена]]^2</f>
        <v>11902.81</v>
      </c>
      <c r="G8">
        <f>ГАЗПРОМ_1[[#This Row],[Газпром-цена]]*ГАЗПРОМ_1[[#This Row],[Газпром-объем]]</f>
        <v>83929908849</v>
      </c>
    </row>
    <row r="9" spans="1:13" x14ac:dyDescent="0.2">
      <c r="A9" s="14">
        <v>128.61000000000001</v>
      </c>
      <c r="B9" s="15">
        <v>879462790</v>
      </c>
      <c r="C9">
        <f>k1_*ГАЗПРОМ_1[[#This Row],[Газпром-цена]]+k0</f>
        <v>1867035858.8484209</v>
      </c>
      <c r="D9" s="23">
        <f>ГАЗПРОМ_1[[#This Row],[Газпром-объем]]-ГАЗПРОМ_1[[#This Row],[h=k1*x+k0]]</f>
        <v>-987573068.84842086</v>
      </c>
      <c r="E9" s="23">
        <f>ГАЗПРОМ_1[[#This Row],[y-h]]^2</f>
        <v>9.7530056631468774E+17</v>
      </c>
      <c r="F9">
        <f>ГАЗПРОМ_1[[#This Row],[Газпром-цена]]^2</f>
        <v>16540.532100000004</v>
      </c>
      <c r="G9">
        <f>ГАЗПРОМ_1[[#This Row],[Газпром-цена]]*ГАЗПРОМ_1[[#This Row],[Газпром-объем]]</f>
        <v>113107709421.90001</v>
      </c>
    </row>
    <row r="10" spans="1:13" x14ac:dyDescent="0.2">
      <c r="A10" s="14">
        <v>131.9</v>
      </c>
      <c r="B10" s="15">
        <v>635494510</v>
      </c>
      <c r="C10">
        <f>k1_*ГАЗПРОМ_1[[#This Row],[Газпром-цена]]+k0</f>
        <v>1836877256.4769111</v>
      </c>
      <c r="D10" s="23">
        <f>ГАЗПРОМ_1[[#This Row],[Газпром-объем]]-ГАЗПРОМ_1[[#This Row],[h=k1*x+k0]]</f>
        <v>-1201382746.4769111</v>
      </c>
      <c r="E10" s="23">
        <f>ГАЗПРОМ_1[[#This Row],[y-h]]^2</f>
        <v>1.443320503532406E+18</v>
      </c>
      <c r="F10">
        <f>ГАЗПРОМ_1[[#This Row],[Газпром-цена]]^2</f>
        <v>17397.61</v>
      </c>
      <c r="G10">
        <f>ГАЗПРОМ_1[[#This Row],[Газпром-цена]]*ГАЗПРОМ_1[[#This Row],[Газпром-объем]]</f>
        <v>83821725869</v>
      </c>
    </row>
    <row r="11" spans="1:13" x14ac:dyDescent="0.2">
      <c r="A11" s="14">
        <v>144.15</v>
      </c>
      <c r="B11" s="15">
        <v>1035314530</v>
      </c>
      <c r="C11">
        <f>k1_*ГАЗПРОМ_1[[#This Row],[Газпром-цена]]+k0</f>
        <v>1724584588.0723538</v>
      </c>
      <c r="D11" s="23">
        <f>ГАЗПРОМ_1[[#This Row],[Газпром-объем]]-ГАЗПРОМ_1[[#This Row],[h=k1*x+k0]]</f>
        <v>-689270058.07235384</v>
      </c>
      <c r="E11" s="23">
        <f>ГАЗПРОМ_1[[#This Row],[y-h]]^2</f>
        <v>4.7509321295506605E+17</v>
      </c>
      <c r="F11">
        <f>ГАЗПРОМ_1[[#This Row],[Газпром-цена]]^2</f>
        <v>20779.2225</v>
      </c>
      <c r="G11">
        <f>ГАЗПРОМ_1[[#This Row],[Газпром-цена]]*ГАЗПРОМ_1[[#This Row],[Газпром-объем]]</f>
        <v>149240589499.5</v>
      </c>
    </row>
    <row r="12" spans="1:13" x14ac:dyDescent="0.2">
      <c r="A12" s="14">
        <v>150.4</v>
      </c>
      <c r="B12" s="15">
        <v>1120379070</v>
      </c>
      <c r="C12">
        <f>k1_*ГАЗПРОМ_1[[#This Row],[Газпром-цена]]+k0</f>
        <v>1667292410.3149266</v>
      </c>
      <c r="D12" s="23">
        <f>ГАЗПРОМ_1[[#This Row],[Газпром-объем]]-ГАЗПРОМ_1[[#This Row],[h=k1*x+k0]]</f>
        <v>-546913340.31492662</v>
      </c>
      <c r="E12" s="23">
        <f>ГАЗПРОМ_1[[#This Row],[y-h]]^2</f>
        <v>2.9911420181443072E+17</v>
      </c>
      <c r="F12">
        <f>ГАЗПРОМ_1[[#This Row],[Газпром-цена]]^2</f>
        <v>22620.160000000003</v>
      </c>
      <c r="G12">
        <f>ГАЗПРОМ_1[[#This Row],[Газпром-цена]]*ГАЗПРОМ_1[[#This Row],[Газпром-объем]]</f>
        <v>168505012128</v>
      </c>
    </row>
    <row r="13" spans="1:13" x14ac:dyDescent="0.2">
      <c r="A13" s="14">
        <v>143.1</v>
      </c>
      <c r="B13" s="15">
        <v>1035969280</v>
      </c>
      <c r="C13">
        <f>k1_*ГАЗПРОМ_1[[#This Row],[Газпром-цена]]+k0</f>
        <v>1734209673.9356017</v>
      </c>
      <c r="D13" s="23">
        <f>ГАЗПРОМ_1[[#This Row],[Газпром-объем]]-ГАЗПРОМ_1[[#This Row],[h=k1*x+k0]]</f>
        <v>-698240393.93560171</v>
      </c>
      <c r="E13" s="23">
        <f>ГАЗПРОМ_1[[#This Row],[y-h]]^2</f>
        <v>4.8753964772334426E+17</v>
      </c>
      <c r="F13">
        <f>ГАЗПРОМ_1[[#This Row],[Газпром-цена]]^2</f>
        <v>20477.609999999997</v>
      </c>
      <c r="G13">
        <f>ГАЗПРОМ_1[[#This Row],[Газпром-цена]]*ГАЗПРОМ_1[[#This Row],[Газпром-объем]]</f>
        <v>148247203968</v>
      </c>
    </row>
    <row r="14" spans="1:13" x14ac:dyDescent="0.2">
      <c r="A14" s="14">
        <v>138.75</v>
      </c>
      <c r="B14" s="15">
        <v>1050788060</v>
      </c>
      <c r="C14">
        <f>k1_*ГАЗПРОМ_1[[#This Row],[Газпром-цена]]+k0</f>
        <v>1774085029.6547709</v>
      </c>
      <c r="D14" s="23">
        <f>ГАЗПРОМ_1[[#This Row],[Газпром-объем]]-ГАЗПРОМ_1[[#This Row],[h=k1*x+k0]]</f>
        <v>-723296969.65477085</v>
      </c>
      <c r="E14" s="23">
        <f>ГАЗПРОМ_1[[#This Row],[y-h]]^2</f>
        <v>5.2315850631177453E+17</v>
      </c>
      <c r="F14">
        <f>ГАЗПРОМ_1[[#This Row],[Газпром-цена]]^2</f>
        <v>19251.5625</v>
      </c>
      <c r="G14">
        <f>ГАЗПРОМ_1[[#This Row],[Газпром-цена]]*ГАЗПРОМ_1[[#This Row],[Газпром-объем]]</f>
        <v>145796843325</v>
      </c>
    </row>
    <row r="15" spans="1:13" x14ac:dyDescent="0.2">
      <c r="A15" s="14">
        <v>145.16</v>
      </c>
      <c r="B15" s="15">
        <v>1056510690</v>
      </c>
      <c r="C15">
        <f>k1_*ГАЗПРОМ_1[[#This Row],[Газпром-цена]]+k0</f>
        <v>1715326172.1467535</v>
      </c>
      <c r="D15" s="23">
        <f>ГАЗПРОМ_1[[#This Row],[Газпром-объем]]-ГАЗПРОМ_1[[#This Row],[h=k1*x+k0]]</f>
        <v>-658815482.14675355</v>
      </c>
      <c r="E15" s="23">
        <f>ГАЗПРОМ_1[[#This Row],[y-h]]^2</f>
        <v>4.3403783951625933E+17</v>
      </c>
      <c r="F15">
        <f>ГАЗПРОМ_1[[#This Row],[Газпром-цена]]^2</f>
        <v>21071.425599999999</v>
      </c>
      <c r="G15">
        <f>ГАЗПРОМ_1[[#This Row],[Газпром-цена]]*ГАЗПРОМ_1[[#This Row],[Газпром-объем]]</f>
        <v>153363091760.39999</v>
      </c>
    </row>
    <row r="16" spans="1:13" x14ac:dyDescent="0.2">
      <c r="A16" s="14">
        <v>139.19999999999999</v>
      </c>
      <c r="B16" s="15">
        <v>1110186930</v>
      </c>
      <c r="C16">
        <f>k1_*ГАЗПРОМ_1[[#This Row],[Газпром-цена]]+k0</f>
        <v>1769959992.8562362</v>
      </c>
      <c r="D16" s="23">
        <f>ГАЗПРОМ_1[[#This Row],[Газпром-объем]]-ГАЗПРОМ_1[[#This Row],[h=k1*x+k0]]</f>
        <v>-659773062.85623622</v>
      </c>
      <c r="E16" s="23">
        <f>ГАЗПРОМ_1[[#This Row],[y-h]]^2</f>
        <v>4.3530049447069901E+17</v>
      </c>
      <c r="F16">
        <f>ГАЗПРОМ_1[[#This Row],[Газпром-цена]]^2</f>
        <v>19376.639999999996</v>
      </c>
      <c r="G16">
        <f>ГАЗПРОМ_1[[#This Row],[Газпром-цена]]*ГАЗПРОМ_1[[#This Row],[Газпром-объем]]</f>
        <v>154538020656</v>
      </c>
    </row>
    <row r="17" spans="1:7" x14ac:dyDescent="0.2">
      <c r="A17" s="14">
        <v>135.5</v>
      </c>
      <c r="B17" s="15">
        <v>2038314440</v>
      </c>
      <c r="C17">
        <f>k1_*ГАЗПРОМ_1[[#This Row],[Газпром-цена]]+k0</f>
        <v>1803876962.0886331</v>
      </c>
      <c r="D17" s="23">
        <f>ГАЗПРОМ_1[[#This Row],[Газпром-объем]]-ГАЗПРОМ_1[[#This Row],[h=k1*x+k0]]</f>
        <v>234437477.91136694</v>
      </c>
      <c r="E17" s="23">
        <f>ГАЗПРОМ_1[[#This Row],[y-h]]^2</f>
        <v>5.4960931049442664E+16</v>
      </c>
      <c r="F17">
        <f>ГАЗПРОМ_1[[#This Row],[Газпром-цена]]^2</f>
        <v>18360.25</v>
      </c>
      <c r="G17">
        <f>ГАЗПРОМ_1[[#This Row],[Газпром-цена]]*ГАЗПРОМ_1[[#This Row],[Газпром-объем]]</f>
        <v>276191606620</v>
      </c>
    </row>
    <row r="18" spans="1:7" x14ac:dyDescent="0.2">
      <c r="A18" s="14">
        <v>128.77000000000001</v>
      </c>
      <c r="B18" s="15">
        <v>1377698400</v>
      </c>
      <c r="C18">
        <f>k1_*ГАЗПРОМ_1[[#This Row],[Газпром-цена]]+k0</f>
        <v>1865569179.0978308</v>
      </c>
      <c r="D18" s="23">
        <f>ГАЗПРОМ_1[[#This Row],[Газпром-объем]]-ГАЗПРОМ_1[[#This Row],[h=k1*x+k0]]</f>
        <v>-487870779.09783077</v>
      </c>
      <c r="E18" s="23">
        <f>ГАЗПРОМ_1[[#This Row],[y-h]]^2</f>
        <v>2.3801789709752438E+17</v>
      </c>
      <c r="F18">
        <f>ГАЗПРОМ_1[[#This Row],[Газпром-цена]]^2</f>
        <v>16581.712900000002</v>
      </c>
      <c r="G18">
        <f>ГАЗПРОМ_1[[#This Row],[Газпром-цена]]*ГАЗПРОМ_1[[#This Row],[Газпром-объем]]</f>
        <v>177406222968</v>
      </c>
    </row>
    <row r="19" spans="1:7" x14ac:dyDescent="0.2">
      <c r="A19" s="14">
        <v>141.69999999999999</v>
      </c>
      <c r="B19" s="15">
        <v>1168270410</v>
      </c>
      <c r="C19">
        <f>k1_*ГАЗПРОМ_1[[#This Row],[Газпром-цена]]+k0</f>
        <v>1747043121.7532654</v>
      </c>
      <c r="D19" s="23">
        <f>ГАЗПРОМ_1[[#This Row],[Газпром-объем]]-ГАЗПРОМ_1[[#This Row],[h=k1*x+k0]]</f>
        <v>-578772711.75326538</v>
      </c>
      <c r="E19" s="23">
        <f>ГАЗПРОМ_1[[#This Row],[y-h]]^2</f>
        <v>3.3497785187022842E+17</v>
      </c>
      <c r="F19">
        <f>ГАЗПРОМ_1[[#This Row],[Газпром-цена]]^2</f>
        <v>20078.889999999996</v>
      </c>
      <c r="G19">
        <f>ГАЗПРОМ_1[[#This Row],[Газпром-цена]]*ГАЗПРОМ_1[[#This Row],[Газпром-объем]]</f>
        <v>165543917097</v>
      </c>
    </row>
    <row r="20" spans="1:7" x14ac:dyDescent="0.2">
      <c r="A20" s="14">
        <v>148.96</v>
      </c>
      <c r="B20" s="15">
        <v>885913470</v>
      </c>
      <c r="C20">
        <f>k1_*ГАЗПРОМ_1[[#This Row],[Газпром-цена]]+k0</f>
        <v>1680492528.0702379</v>
      </c>
      <c r="D20" s="23">
        <f>ГАЗПРОМ_1[[#This Row],[Газпром-объем]]-ГАЗПРОМ_1[[#This Row],[h=k1*x+k0]]</f>
        <v>-794579058.07023787</v>
      </c>
      <c r="E20" s="23">
        <f>ГАЗПРОМ_1[[#This Row],[y-h]]^2</f>
        <v>6.313558795237865E+17</v>
      </c>
      <c r="F20">
        <f>ГАЗПРОМ_1[[#This Row],[Газпром-цена]]^2</f>
        <v>22189.081600000001</v>
      </c>
      <c r="G20">
        <f>ГАЗПРОМ_1[[#This Row],[Газпром-цена]]*ГАЗПРОМ_1[[#This Row],[Газпром-объем]]</f>
        <v>131965670491.20001</v>
      </c>
    </row>
    <row r="21" spans="1:7" x14ac:dyDescent="0.2">
      <c r="A21" s="14">
        <v>132</v>
      </c>
      <c r="B21" s="15">
        <v>1004959980</v>
      </c>
      <c r="C21">
        <f>k1_*ГАЗПРОМ_1[[#This Row],[Газпром-цена]]+k0</f>
        <v>1835960581.6327925</v>
      </c>
      <c r="D21" s="23">
        <f>ГАЗПРОМ_1[[#This Row],[Газпром-объем]]-ГАЗПРОМ_1[[#This Row],[h=k1*x+k0]]</f>
        <v>-831000601.63279247</v>
      </c>
      <c r="E21" s="23">
        <f>ГАЗПРОМ_1[[#This Row],[y-h]]^2</f>
        <v>6.905619999140631E+17</v>
      </c>
      <c r="F21">
        <f>ГАЗПРОМ_1[[#This Row],[Газпром-цена]]^2</f>
        <v>17424</v>
      </c>
      <c r="G21">
        <f>ГАЗПРОМ_1[[#This Row],[Газпром-цена]]*ГАЗПРОМ_1[[#This Row],[Газпром-объем]]</f>
        <v>132654717360</v>
      </c>
    </row>
    <row r="22" spans="1:7" x14ac:dyDescent="0.2">
      <c r="A22" s="14">
        <v>131.94999999999999</v>
      </c>
      <c r="B22" s="15">
        <v>851294800</v>
      </c>
      <c r="C22">
        <f>k1_*ГАЗПРОМ_1[[#This Row],[Газпром-цена]]+k0</f>
        <v>1836418919.054852</v>
      </c>
      <c r="D22" s="23">
        <f>ГАЗПРОМ_1[[#This Row],[Газпром-объем]]-ГАЗПРОМ_1[[#This Row],[h=k1*x+k0]]</f>
        <v>-985124119.05485201</v>
      </c>
      <c r="E22" s="23">
        <f>ГАЗПРОМ_1[[#This Row],[y-h]]^2</f>
        <v>9.7046952994359821E+17</v>
      </c>
      <c r="F22">
        <f>ГАЗПРОМ_1[[#This Row],[Газпром-цена]]^2</f>
        <v>17410.802499999998</v>
      </c>
      <c r="G22">
        <f>ГАЗПРОМ_1[[#This Row],[Газпром-цена]]*ГАЗПРОМ_1[[#This Row],[Газпром-объем]]</f>
        <v>112328348859.99998</v>
      </c>
    </row>
    <row r="23" spans="1:7" x14ac:dyDescent="0.2">
      <c r="A23" s="14">
        <v>137.9</v>
      </c>
      <c r="B23" s="15">
        <v>797896850</v>
      </c>
      <c r="C23">
        <f>k1_*ГАЗПРОМ_1[[#This Row],[Газпром-цена]]+k0</f>
        <v>1781876765.8297811</v>
      </c>
      <c r="D23" s="23">
        <f>ГАЗПРОМ_1[[#This Row],[Газпром-объем]]-ГАЗПРОМ_1[[#This Row],[h=k1*x+k0]]</f>
        <v>-983979915.82978106</v>
      </c>
      <c r="E23" s="23">
        <f>ГАЗПРОМ_1[[#This Row],[y-h]]^2</f>
        <v>9.6821647475638298E+17</v>
      </c>
      <c r="F23">
        <f>ГАЗПРОМ_1[[#This Row],[Газпром-цена]]^2</f>
        <v>19016.41</v>
      </c>
      <c r="G23">
        <f>ГАЗПРОМ_1[[#This Row],[Газпром-цена]]*ГАЗПРОМ_1[[#This Row],[Газпром-объем]]</f>
        <v>110029975615</v>
      </c>
    </row>
    <row r="24" spans="1:7" x14ac:dyDescent="0.2">
      <c r="A24" s="14">
        <v>141.5</v>
      </c>
      <c r="B24" s="15">
        <v>857933800</v>
      </c>
      <c r="C24">
        <f>k1_*ГАЗПРОМ_1[[#This Row],[Газпром-цена]]+k0</f>
        <v>1748876471.441503</v>
      </c>
      <c r="D24" s="23">
        <f>ГАЗПРОМ_1[[#This Row],[Газпром-объем]]-ГАЗПРОМ_1[[#This Row],[h=k1*x+k0]]</f>
        <v>-890942671.44150305</v>
      </c>
      <c r="E24" s="23">
        <f>ГАЗПРОМ_1[[#This Row],[y-h]]^2</f>
        <v>7.9377884379532211E+17</v>
      </c>
      <c r="F24">
        <f>ГАЗПРОМ_1[[#This Row],[Газпром-цена]]^2</f>
        <v>20022.25</v>
      </c>
      <c r="G24">
        <f>ГАЗПРОМ_1[[#This Row],[Газпром-цена]]*ГАЗПРОМ_1[[#This Row],[Газпром-объем]]</f>
        <v>121397632700</v>
      </c>
    </row>
    <row r="25" spans="1:7" x14ac:dyDescent="0.2">
      <c r="A25" s="14">
        <v>142.86000000000001</v>
      </c>
      <c r="B25" s="15">
        <v>691989260</v>
      </c>
      <c r="C25">
        <f>k1_*ГАЗПРОМ_1[[#This Row],[Газпром-цена]]+k0</f>
        <v>1736409693.5614867</v>
      </c>
      <c r="D25" s="23">
        <f>ГАЗПРОМ_1[[#This Row],[Газпром-объем]]-ГАЗПРОМ_1[[#This Row],[h=k1*x+k0]]</f>
        <v>-1044420433.5614867</v>
      </c>
      <c r="E25" s="23">
        <f>ГАЗПРОМ_1[[#This Row],[y-h]]^2</f>
        <v>1.0908140420407639E+18</v>
      </c>
      <c r="F25">
        <f>ГАЗПРОМ_1[[#This Row],[Газпром-цена]]^2</f>
        <v>20408.979600000002</v>
      </c>
      <c r="G25">
        <f>ГАЗПРОМ_1[[#This Row],[Газпром-цена]]*ГАЗПРОМ_1[[#This Row],[Газпром-объем]]</f>
        <v>98857585683.600006</v>
      </c>
    </row>
    <row r="26" spans="1:7" x14ac:dyDescent="0.2">
      <c r="A26" s="14">
        <v>130.31</v>
      </c>
      <c r="B26" s="15">
        <v>983856510</v>
      </c>
      <c r="C26">
        <f>k1_*ГАЗПРОМ_1[[#This Row],[Газпром-цена]]+k0</f>
        <v>1851452386.4984007</v>
      </c>
      <c r="D26" s="23">
        <f>ГАЗПРОМ_1[[#This Row],[Газпром-объем]]-ГАЗПРОМ_1[[#This Row],[h=k1*x+k0]]</f>
        <v>-867595876.49840069</v>
      </c>
      <c r="E26" s="23">
        <f>ГАЗПРОМ_1[[#This Row],[y-h]]^2</f>
        <v>7.527226049170281E+17</v>
      </c>
      <c r="F26">
        <f>ГАЗПРОМ_1[[#This Row],[Газпром-цена]]^2</f>
        <v>16980.696100000001</v>
      </c>
      <c r="G26">
        <f>ГАЗПРОМ_1[[#This Row],[Газпром-цена]]*ГАЗПРОМ_1[[#This Row],[Газпром-объем]]</f>
        <v>128206341818.10001</v>
      </c>
    </row>
    <row r="27" spans="1:7" x14ac:dyDescent="0.2">
      <c r="A27" s="14">
        <v>143.82</v>
      </c>
      <c r="B27" s="15">
        <v>652102830</v>
      </c>
      <c r="C27">
        <f>k1_*ГАЗПРОМ_1[[#This Row],[Газпром-цена]]+k0</f>
        <v>1727609615.057946</v>
      </c>
      <c r="D27" s="23">
        <f>ГАЗПРОМ_1[[#This Row],[Газпром-объем]]-ГАЗПРОМ_1[[#This Row],[h=k1*x+k0]]</f>
        <v>-1075506785.057946</v>
      </c>
      <c r="E27" s="23">
        <f>ГАЗПРОМ_1[[#This Row],[y-h]]^2</f>
        <v>1.1567148447056788E+18</v>
      </c>
      <c r="F27">
        <f>ГАЗПРОМ_1[[#This Row],[Газпром-цена]]^2</f>
        <v>20684.192399999996</v>
      </c>
      <c r="G27">
        <f>ГАЗПРОМ_1[[#This Row],[Газпром-цена]]*ГАЗПРОМ_1[[#This Row],[Газпром-объем]]</f>
        <v>93785429010.599991</v>
      </c>
    </row>
    <row r="28" spans="1:7" x14ac:dyDescent="0.2">
      <c r="A28" s="14">
        <v>152.94999999999999</v>
      </c>
      <c r="B28" s="15">
        <v>919520350</v>
      </c>
      <c r="C28">
        <f>k1_*ГАЗПРОМ_1[[#This Row],[Газпром-цена]]+k0</f>
        <v>1643917201.7898965</v>
      </c>
      <c r="D28" s="23">
        <f>ГАЗПРОМ_1[[#This Row],[Газпром-объем]]-ГАЗПРОМ_1[[#This Row],[h=k1*x+k0]]</f>
        <v>-724396851.78989649</v>
      </c>
      <c r="E28" s="23">
        <f>ГАЗПРОМ_1[[#This Row],[y-h]]^2</f>
        <v>5.2475079888311328E+17</v>
      </c>
      <c r="F28">
        <f>ГАЗПРОМ_1[[#This Row],[Газпром-цена]]^2</f>
        <v>23393.702499999996</v>
      </c>
      <c r="G28">
        <f>ГАЗПРОМ_1[[#This Row],[Газпром-цена]]*ГАЗПРОМ_1[[#This Row],[Газпром-объем]]</f>
        <v>140640637532.5</v>
      </c>
    </row>
    <row r="29" spans="1:7" x14ac:dyDescent="0.2">
      <c r="A29" s="14">
        <v>138.9</v>
      </c>
      <c r="B29" s="15">
        <v>718069290</v>
      </c>
      <c r="C29">
        <f>k1_*ГАЗПРОМ_1[[#This Row],[Газпром-цена]]+k0</f>
        <v>1772710017.3885927</v>
      </c>
      <c r="D29" s="23">
        <f>ГАЗПРОМ_1[[#This Row],[Газпром-объем]]-ГАЗПРОМ_1[[#This Row],[h=k1*x+k0]]</f>
        <v>-1054640727.3885927</v>
      </c>
      <c r="E29" s="23">
        <f>ГАЗПРОМ_1[[#This Row],[y-h]]^2</f>
        <v>1.11226706386674E+18</v>
      </c>
      <c r="F29">
        <f>ГАЗПРОМ_1[[#This Row],[Газпром-цена]]^2</f>
        <v>19293.210000000003</v>
      </c>
      <c r="G29">
        <f>ГАЗПРОМ_1[[#This Row],[Газпром-цена]]*ГАЗПРОМ_1[[#This Row],[Газпром-объем]]</f>
        <v>99739824381</v>
      </c>
    </row>
    <row r="30" spans="1:7" x14ac:dyDescent="0.2">
      <c r="A30" s="14">
        <v>153.5</v>
      </c>
      <c r="B30" s="15">
        <v>821523460</v>
      </c>
      <c r="C30">
        <f>k1_*ГАЗПРОМ_1[[#This Row],[Газпром-цена]]+k0</f>
        <v>1638875490.1472428</v>
      </c>
      <c r="D30" s="23">
        <f>ГАЗПРОМ_1[[#This Row],[Газпром-объем]]-ГАЗПРОМ_1[[#This Row],[h=k1*x+k0]]</f>
        <v>-817352030.14724278</v>
      </c>
      <c r="E30" s="23">
        <f>ГАЗПРОМ_1[[#This Row],[y-h]]^2</f>
        <v>6.6806434118581926E+17</v>
      </c>
      <c r="F30">
        <f>ГАЗПРОМ_1[[#This Row],[Газпром-цена]]^2</f>
        <v>23562.25</v>
      </c>
      <c r="G30">
        <f>ГАЗПРОМ_1[[#This Row],[Газпром-цена]]*ГАЗПРОМ_1[[#This Row],[Газпром-объем]]</f>
        <v>126103851110</v>
      </c>
    </row>
    <row r="31" spans="1:7" x14ac:dyDescent="0.2">
      <c r="A31" s="14">
        <v>139</v>
      </c>
      <c r="B31" s="15">
        <v>472091480</v>
      </c>
      <c r="C31">
        <f>k1_*ГАЗПРОМ_1[[#This Row],[Газпром-цена]]+k0</f>
        <v>1771793342.5444739</v>
      </c>
      <c r="D31" s="23">
        <f>ГАЗПРОМ_1[[#This Row],[Газпром-объем]]-ГАЗПРОМ_1[[#This Row],[h=k1*x+k0]]</f>
        <v>-1299701862.5444739</v>
      </c>
      <c r="E31" s="23">
        <f>ГАЗПРОМ_1[[#This Row],[y-h]]^2</f>
        <v>1.6892249315015744E+18</v>
      </c>
      <c r="F31">
        <f>ГАЗПРОМ_1[[#This Row],[Газпром-цена]]^2</f>
        <v>19321</v>
      </c>
      <c r="G31">
        <f>ГАЗПРОМ_1[[#This Row],[Газпром-цена]]*ГАЗПРОМ_1[[#This Row],[Газпром-объем]]</f>
        <v>65620715720</v>
      </c>
    </row>
    <row r="32" spans="1:7" x14ac:dyDescent="0.2">
      <c r="A32" s="14">
        <v>145.85</v>
      </c>
      <c r="B32" s="15">
        <v>533051950</v>
      </c>
      <c r="C32">
        <f>k1_*ГАЗПРОМ_1[[#This Row],[Газпром-цена]]+k0</f>
        <v>1709001115.7223337</v>
      </c>
      <c r="D32" s="23">
        <f>ГАЗПРОМ_1[[#This Row],[Газпром-объем]]-ГАЗПРОМ_1[[#This Row],[h=k1*x+k0]]</f>
        <v>-1175949165.7223337</v>
      </c>
      <c r="E32" s="23">
        <f>ГАЗПРОМ_1[[#This Row],[y-h]]^2</f>
        <v>1.3828564403630525E+18</v>
      </c>
      <c r="F32">
        <f>ГАЗПРОМ_1[[#This Row],[Газпром-цена]]^2</f>
        <v>21272.2225</v>
      </c>
      <c r="G32">
        <f>ГАЗПРОМ_1[[#This Row],[Газпром-цена]]*ГАЗПРОМ_1[[#This Row],[Газпром-объем]]</f>
        <v>77745626907.5</v>
      </c>
    </row>
    <row r="33" spans="1:11" x14ac:dyDescent="0.2">
      <c r="A33" s="14">
        <v>142.5</v>
      </c>
      <c r="B33" s="15">
        <v>543868920</v>
      </c>
      <c r="C33">
        <f>k1_*ГАЗПРОМ_1[[#This Row],[Газпром-цена]]+k0</f>
        <v>1739709723.0003147</v>
      </c>
      <c r="D33" s="23">
        <f>ГАЗПРОМ_1[[#This Row],[Газпром-объем]]-ГАЗПРОМ_1[[#This Row],[h=k1*x+k0]]</f>
        <v>-1195840803.0003147</v>
      </c>
      <c r="E33" s="23">
        <f>ГАЗПРОМ_1[[#This Row],[y-h]]^2</f>
        <v>1.4300352261204375E+18</v>
      </c>
      <c r="F33">
        <f>ГАЗПРОМ_1[[#This Row],[Газпром-цена]]^2</f>
        <v>20306.25</v>
      </c>
      <c r="G33">
        <f>ГАЗПРОМ_1[[#This Row],[Газпром-цена]]*ГАЗПРОМ_1[[#This Row],[Газпром-объем]]</f>
        <v>77501321100</v>
      </c>
    </row>
    <row r="34" spans="1:11" x14ac:dyDescent="0.2">
      <c r="A34" s="14">
        <v>148.19</v>
      </c>
      <c r="B34" s="15">
        <v>654231910</v>
      </c>
      <c r="C34">
        <f>k1_*ГАЗПРОМ_1[[#This Row],[Газпром-цена]]+k0</f>
        <v>1687550924.3699529</v>
      </c>
      <c r="D34" s="23">
        <f>ГАЗПРОМ_1[[#This Row],[Газпром-объем]]-ГАЗПРОМ_1[[#This Row],[h=k1*x+k0]]</f>
        <v>-1033319014.3699529</v>
      </c>
      <c r="E34" s="23">
        <f>ГАЗПРОМ_1[[#This Row],[y-h]]^2</f>
        <v>1.067748185458491E+18</v>
      </c>
      <c r="F34">
        <f>ГАЗПРОМ_1[[#This Row],[Газпром-цена]]^2</f>
        <v>21960.276099999999</v>
      </c>
      <c r="G34">
        <f>ГАЗПРОМ_1[[#This Row],[Газпром-цена]]*ГАЗПРОМ_1[[#This Row],[Газпром-объем]]</f>
        <v>96950626742.899994</v>
      </c>
    </row>
    <row r="35" spans="1:11" x14ac:dyDescent="0.2">
      <c r="A35" s="14">
        <v>134.55000000000001</v>
      </c>
      <c r="B35" s="15">
        <v>646257900</v>
      </c>
      <c r="C35">
        <f>k1_*ГАЗПРОМ_1[[#This Row],[Газпром-цена]]+k0</f>
        <v>1812585373.1077619</v>
      </c>
      <c r="D35" s="23">
        <f>ГАЗПРОМ_1[[#This Row],[Газпром-объем]]-ГАЗПРОМ_1[[#This Row],[h=k1*x+k0]]</f>
        <v>-1166327473.1077619</v>
      </c>
      <c r="E35" s="23">
        <f>ГАЗПРОМ_1[[#This Row],[y-h]]^2</f>
        <v>1.3603197745259369E+18</v>
      </c>
      <c r="F35">
        <f>ГАЗПРОМ_1[[#This Row],[Газпром-цена]]^2</f>
        <v>18103.702500000003</v>
      </c>
      <c r="G35">
        <f>ГАЗПРОМ_1[[#This Row],[Газпром-цена]]*ГАЗПРОМ_1[[#This Row],[Газпром-объем]]</f>
        <v>86954000445</v>
      </c>
    </row>
    <row r="36" spans="1:11" x14ac:dyDescent="0.2">
      <c r="A36" s="14">
        <v>135.75</v>
      </c>
      <c r="B36" s="15">
        <v>727388150</v>
      </c>
      <c r="C36">
        <f>k1_*ГАЗПРОМ_1[[#This Row],[Газпром-цена]]+k0</f>
        <v>1801585274.9783361</v>
      </c>
      <c r="D36" s="23">
        <f>ГАЗПРОМ_1[[#This Row],[Газпром-объем]]-ГАЗПРОМ_1[[#This Row],[h=k1*x+k0]]</f>
        <v>-1074197124.9783361</v>
      </c>
      <c r="E36" s="23">
        <f>ГАЗПРОМ_1[[#This Row],[y-h]]^2</f>
        <v>1.153899463311723E+18</v>
      </c>
      <c r="F36">
        <f>ГАЗПРОМ_1[[#This Row],[Газпром-цена]]^2</f>
        <v>18428.0625</v>
      </c>
      <c r="G36">
        <f>ГАЗПРОМ_1[[#This Row],[Газпром-цена]]*ГАЗПРОМ_1[[#This Row],[Газпром-объем]]</f>
        <v>98742941362.5</v>
      </c>
      <c r="I36" s="12" t="s">
        <v>9</v>
      </c>
      <c r="J36" t="s">
        <v>10</v>
      </c>
      <c r="K36" t="s">
        <v>11</v>
      </c>
    </row>
    <row r="37" spans="1:11" x14ac:dyDescent="0.2">
      <c r="A37" s="14">
        <v>138</v>
      </c>
      <c r="B37" s="15">
        <v>785173850</v>
      </c>
      <c r="C37">
        <f>k1_*ГАЗПРОМ_1[[#This Row],[Газпром-цена]]+k0</f>
        <v>1780960090.9856622</v>
      </c>
      <c r="D37" s="23">
        <f>ГАЗПРОМ_1[[#This Row],[Газпром-объем]]-ГАЗПРОМ_1[[#This Row],[h=k1*x+k0]]</f>
        <v>-995786240.98566222</v>
      </c>
      <c r="E37" s="23">
        <f>ГАЗПРОМ_1[[#This Row],[y-h]]^2</f>
        <v>9.9159023773635533E+17</v>
      </c>
      <c r="F37">
        <f>ГАЗПРОМ_1[[#This Row],[Газпром-цена]]^2</f>
        <v>19044</v>
      </c>
      <c r="G37">
        <f>ГАЗПРОМ_1[[#This Row],[Газпром-цена]]*ГАЗПРОМ_1[[#This Row],[Газпром-объем]]</f>
        <v>108353991300</v>
      </c>
      <c r="I37" s="5">
        <f>F96</f>
        <v>2324332.8903000001</v>
      </c>
      <c r="J37" s="13">
        <f>A96</f>
        <v>14456.510000000006</v>
      </c>
      <c r="K37">
        <f>ГАЗПРОМ_1[[#Totals],[x*y]]</f>
        <v>11313780018421.703</v>
      </c>
    </row>
    <row r="38" spans="1:11" x14ac:dyDescent="0.2">
      <c r="A38" s="14">
        <v>136.09</v>
      </c>
      <c r="B38" s="15">
        <v>632658380</v>
      </c>
      <c r="C38">
        <f>k1_*ГАЗПРОМ_1[[#This Row],[Газпром-цена]]+k0</f>
        <v>1798468580.508332</v>
      </c>
      <c r="D38" s="23">
        <f>ГАЗПРОМ_1[[#This Row],[Газпром-объем]]-ГАЗПРОМ_1[[#This Row],[h=k1*x+k0]]</f>
        <v>-1165810200.508332</v>
      </c>
      <c r="E38" s="23">
        <f>ГАЗПРОМ_1[[#This Row],[y-h]]^2</f>
        <v>1.3591134236092772E+18</v>
      </c>
      <c r="F38">
        <f>ГАЗПРОМ_1[[#This Row],[Газпром-цена]]^2</f>
        <v>18520.488100000002</v>
      </c>
      <c r="G38">
        <f>ГАЗПРОМ_1[[#This Row],[Газпром-цена]]*ГАЗПРОМ_1[[#This Row],[Газпром-объем]]</f>
        <v>86098478934.199997</v>
      </c>
      <c r="I38" s="13">
        <f>A96</f>
        <v>14456.510000000006</v>
      </c>
      <c r="J38">
        <f>COUNT(A2:A95)</f>
        <v>94</v>
      </c>
      <c r="K38">
        <f>ГАЗПРОМ_1[[#Totals],[Газпром-объем]]</f>
        <v>72013478820</v>
      </c>
    </row>
    <row r="39" spans="1:11" x14ac:dyDescent="0.2">
      <c r="A39" s="14">
        <v>136.6</v>
      </c>
      <c r="B39" s="15">
        <v>614480400</v>
      </c>
      <c r="C39">
        <f>k1_*ГАЗПРОМ_1[[#This Row],[Газпром-цена]]+k0</f>
        <v>1793793538.8033259</v>
      </c>
      <c r="D39" s="23">
        <f>ГАЗПРОМ_1[[#This Row],[Газпром-объем]]-ГАЗПРОМ_1[[#This Row],[h=k1*x+k0]]</f>
        <v>-1179313138.8033259</v>
      </c>
      <c r="E39" s="23">
        <f>ГАЗПРОМ_1[[#This Row],[y-h]]^2</f>
        <v>1.3907794793541527E+18</v>
      </c>
      <c r="F39">
        <f>ГАЗПРОМ_1[[#This Row],[Газпром-цена]]^2</f>
        <v>18659.559999999998</v>
      </c>
      <c r="G39">
        <f>ГАЗПРОМ_1[[#This Row],[Газпром-цена]]*ГАЗПРОМ_1[[#This Row],[Газпром-объем]]</f>
        <v>83938022640</v>
      </c>
    </row>
    <row r="40" spans="1:11" x14ac:dyDescent="0.2">
      <c r="A40" s="14">
        <v>141.4</v>
      </c>
      <c r="B40" s="15">
        <v>642613120</v>
      </c>
      <c r="C40">
        <f>k1_*ГАЗПРОМ_1[[#This Row],[Газпром-цена]]+k0</f>
        <v>1749793146.2856219</v>
      </c>
      <c r="D40" s="23">
        <f>ГАЗПРОМ_1[[#This Row],[Газпром-объем]]-ГАЗПРОМ_1[[#This Row],[h=k1*x+k0]]</f>
        <v>-1107180026.2856219</v>
      </c>
      <c r="E40" s="23">
        <f>ГАЗПРОМ_1[[#This Row],[y-h]]^2</f>
        <v>1.2258476106058304E+18</v>
      </c>
      <c r="F40">
        <f>ГАЗПРОМ_1[[#This Row],[Газпром-цена]]^2</f>
        <v>19993.960000000003</v>
      </c>
      <c r="G40">
        <f>ГАЗПРОМ_1[[#This Row],[Газпром-цена]]*ГАЗПРОМ_1[[#This Row],[Газпром-объем]]</f>
        <v>90865495168</v>
      </c>
      <c r="I40">
        <f t="array" ref="I40">MMULT(MINVERSE(I37:J38),K37:K38)</f>
        <v>2362079.1322130114</v>
      </c>
    </row>
    <row r="41" spans="1:11" x14ac:dyDescent="0.2">
      <c r="A41" s="14">
        <v>147.75</v>
      </c>
      <c r="B41" s="15">
        <v>731620780</v>
      </c>
      <c r="C41">
        <f>k1_*ГАЗПРОМ_1[[#This Row],[Газпром-цена]]+k0</f>
        <v>1691584293.6840758</v>
      </c>
      <c r="D41" s="23">
        <f>ГАЗПРОМ_1[[#This Row],[Газпром-объем]]-ГАЗПРОМ_1[[#This Row],[h=k1*x+k0]]</f>
        <v>-959963513.68407583</v>
      </c>
      <c r="E41" s="23">
        <f>ГАЗПРОМ_1[[#This Row],[y-h]]^2</f>
        <v>9.2152994760467686E+17</v>
      </c>
      <c r="F41">
        <f>ГАЗПРОМ_1[[#This Row],[Газпром-цена]]^2</f>
        <v>21830.0625</v>
      </c>
      <c r="G41">
        <f>ГАЗПРОМ_1[[#This Row],[Газпром-цена]]*ГАЗПРОМ_1[[#This Row],[Газпром-объем]]</f>
        <v>108096970245</v>
      </c>
      <c r="I41">
        <f>J63</f>
        <v>402830406.64225376</v>
      </c>
      <c r="J41" s="8"/>
    </row>
    <row r="42" spans="1:11" x14ac:dyDescent="0.2">
      <c r="A42" s="14">
        <v>168.47</v>
      </c>
      <c r="B42" s="15">
        <v>941606540</v>
      </c>
      <c r="C42">
        <f>k1_*ГАЗПРОМ_1[[#This Row],[Газпром-цена]]+k0</f>
        <v>1501649265.9826529</v>
      </c>
      <c r="D42" s="23">
        <f>ГАЗПРОМ_1[[#This Row],[Газпром-объем]]-ГАЗПРОМ_1[[#This Row],[h=k1*x+k0]]</f>
        <v>-560042725.9826529</v>
      </c>
      <c r="E42" s="23">
        <f>ГАЗПРОМ_1[[#This Row],[y-h]]^2</f>
        <v>3.1364785492608083E+17</v>
      </c>
      <c r="F42">
        <f>ГАЗПРОМ_1[[#This Row],[Газпром-цена]]^2</f>
        <v>28382.140899999999</v>
      </c>
      <c r="G42">
        <f>ГАЗПРОМ_1[[#This Row],[Газпром-цена]]*ГАЗПРОМ_1[[#This Row],[Газпром-объем]]</f>
        <v>158632453793.79999</v>
      </c>
    </row>
    <row r="43" spans="1:11" x14ac:dyDescent="0.2">
      <c r="A43" s="14">
        <v>145.5</v>
      </c>
      <c r="B43" s="15">
        <v>662677050</v>
      </c>
      <c r="C43">
        <f>k1_*ГАЗПРОМ_1[[#This Row],[Газпром-цена]]+k0</f>
        <v>1712209477.6767495</v>
      </c>
      <c r="D43" s="23">
        <f>ГАЗПРОМ_1[[#This Row],[Газпром-объем]]-ГАЗПРОМ_1[[#This Row],[h=k1*x+k0]]</f>
        <v>-1049532427.6767495</v>
      </c>
      <c r="E43" s="23">
        <f>ГАЗПРОМ_1[[#This Row],[y-h]]^2</f>
        <v>1.1015183167450514E+18</v>
      </c>
      <c r="F43">
        <f>ГАЗПРОМ_1[[#This Row],[Газпром-цена]]^2</f>
        <v>21170.25</v>
      </c>
      <c r="G43">
        <f>ГАЗПРОМ_1[[#This Row],[Газпром-цена]]*ГАЗПРОМ_1[[#This Row],[Газпром-объем]]</f>
        <v>96419510775</v>
      </c>
    </row>
    <row r="44" spans="1:11" x14ac:dyDescent="0.2">
      <c r="A44" s="14">
        <v>139.51</v>
      </c>
      <c r="B44" s="15">
        <v>538549300</v>
      </c>
      <c r="C44">
        <f>k1_*ГАЗПРОМ_1[[#This Row],[Газпром-цена]]+k0</f>
        <v>1767118300.839468</v>
      </c>
      <c r="D44" s="23">
        <f>ГАЗПРОМ_1[[#This Row],[Газпром-объем]]-ГАЗПРОМ_1[[#This Row],[h=k1*x+k0]]</f>
        <v>-1228569000.839468</v>
      </c>
      <c r="E44" s="23">
        <f>ГАЗПРОМ_1[[#This Row],[y-h]]^2</f>
        <v>1.5093817898236887E+18</v>
      </c>
      <c r="F44">
        <f>ГАЗПРОМ_1[[#This Row],[Газпром-цена]]^2</f>
        <v>19463.040099999998</v>
      </c>
      <c r="G44">
        <f>ГАЗПРОМ_1[[#This Row],[Газпром-цена]]*ГАЗПРОМ_1[[#This Row],[Газпром-объем]]</f>
        <v>75133012843</v>
      </c>
    </row>
    <row r="45" spans="1:11" x14ac:dyDescent="0.2">
      <c r="A45" s="14">
        <v>137.30000000000001</v>
      </c>
      <c r="B45" s="15">
        <v>505531930</v>
      </c>
      <c r="C45">
        <f>k1_*ГАЗПРОМ_1[[#This Row],[Газпром-цена]]+k0</f>
        <v>1787376814.8944941</v>
      </c>
      <c r="D45" s="23">
        <f>ГАЗПРОМ_1[[#This Row],[Газпром-объем]]-ГАЗПРОМ_1[[#This Row],[h=k1*x+k0]]</f>
        <v>-1281844884.8944941</v>
      </c>
      <c r="E45" s="23">
        <f>ГАЗПРОМ_1[[#This Row],[y-h]]^2</f>
        <v>1.6431263089301788E+18</v>
      </c>
      <c r="F45">
        <f>ГАЗПРОМ_1[[#This Row],[Газпром-цена]]^2</f>
        <v>18851.290000000005</v>
      </c>
      <c r="G45">
        <f>ГАЗПРОМ_1[[#This Row],[Газпром-цена]]*ГАЗПРОМ_1[[#This Row],[Газпром-объем]]</f>
        <v>69409533989</v>
      </c>
    </row>
    <row r="46" spans="1:11" x14ac:dyDescent="0.2">
      <c r="A46" s="14">
        <v>134.94999999999999</v>
      </c>
      <c r="B46" s="15">
        <v>472860350</v>
      </c>
      <c r="C46">
        <f>k1_*ГАЗПРОМ_1[[#This Row],[Газпром-цена]]+k0</f>
        <v>1808918673.7312868</v>
      </c>
      <c r="D46" s="23">
        <f>ГАЗПРОМ_1[[#This Row],[Газпром-объем]]-ГАЗПРОМ_1[[#This Row],[h=k1*x+k0]]</f>
        <v>-1336058323.7312868</v>
      </c>
      <c r="E46" s="23">
        <f>ГАЗПРОМ_1[[#This Row],[y-h]]^2</f>
        <v>1.7850518444116559E+18</v>
      </c>
      <c r="F46">
        <f>ГАЗПРОМ_1[[#This Row],[Газпром-цена]]^2</f>
        <v>18211.502499999999</v>
      </c>
      <c r="G46">
        <f>ГАЗПРОМ_1[[#This Row],[Газпром-цена]]*ГАЗПРОМ_1[[#This Row],[Газпром-объем]]</f>
        <v>63812504232.499992</v>
      </c>
    </row>
    <row r="47" spans="1:11" x14ac:dyDescent="0.2">
      <c r="A47" s="14">
        <v>134.9</v>
      </c>
      <c r="B47" s="15">
        <v>567536440</v>
      </c>
      <c r="C47">
        <f>k1_*ГАЗПРОМ_1[[#This Row],[Газпром-цена]]+k0</f>
        <v>1809377011.1533461</v>
      </c>
      <c r="D47" s="23">
        <f>ГАЗПРОМ_1[[#This Row],[Газпром-объем]]-ГАЗПРОМ_1[[#This Row],[h=k1*x+k0]]</f>
        <v>-1241840571.1533461</v>
      </c>
      <c r="E47" s="23">
        <f>ГАЗПРОМ_1[[#This Row],[y-h]]^2</f>
        <v>1.5421680041624689E+18</v>
      </c>
      <c r="F47">
        <f>ГАЗПРОМ_1[[#This Row],[Газпром-цена]]^2</f>
        <v>18198.010000000002</v>
      </c>
      <c r="G47">
        <f>ГАЗПРОМ_1[[#This Row],[Газпром-цена]]*ГАЗПРОМ_1[[#This Row],[Газпром-объем]]</f>
        <v>76560665756</v>
      </c>
      <c r="I47" t="s">
        <v>12</v>
      </c>
    </row>
    <row r="48" spans="1:11" ht="17" thickBot="1" x14ac:dyDescent="0.25">
      <c r="A48" s="14">
        <v>138.84</v>
      </c>
      <c r="B48" s="15">
        <v>409341480</v>
      </c>
      <c r="C48">
        <f>k1_*ГАЗПРОМ_1[[#This Row],[Газпром-цена]]+k0</f>
        <v>1773260022.295064</v>
      </c>
      <c r="D48" s="23">
        <f>ГАЗПРОМ_1[[#This Row],[Газпром-объем]]-ГАЗПРОМ_1[[#This Row],[h=k1*x+k0]]</f>
        <v>-1363918542.295064</v>
      </c>
      <c r="E48" s="23">
        <f>ГАЗПРОМ_1[[#This Row],[y-h]]^2</f>
        <v>1.8602737900162921E+18</v>
      </c>
      <c r="F48">
        <f>ГАЗПРОМ_1[[#This Row],[Газпром-цена]]^2</f>
        <v>19276.545600000001</v>
      </c>
      <c r="G48">
        <f>ГАЗПРОМ_1[[#This Row],[Газпром-цена]]*ГАЗПРОМ_1[[#This Row],[Газпром-объем]]</f>
        <v>56832971083.200005</v>
      </c>
    </row>
    <row r="49" spans="1:17" x14ac:dyDescent="0.2">
      <c r="A49" s="14">
        <v>148.80000000000001</v>
      </c>
      <c r="B49" s="15">
        <v>735320710</v>
      </c>
      <c r="C49">
        <f>k1_*ГАЗПРОМ_1[[#This Row],[Газпром-цена]]+k0</f>
        <v>1681959207.820828</v>
      </c>
      <c r="D49" s="23">
        <f>ГАЗПРОМ_1[[#This Row],[Газпром-объем]]-ГАЗПРОМ_1[[#This Row],[h=k1*x+k0]]</f>
        <v>-946638497.82082796</v>
      </c>
      <c r="E49" s="23">
        <f>ГАЗПРОМ_1[[#This Row],[y-h]]^2</f>
        <v>8.9612444555647373E+17</v>
      </c>
      <c r="F49">
        <f>ГАЗПРОМ_1[[#This Row],[Газпром-цена]]^2</f>
        <v>22141.440000000002</v>
      </c>
      <c r="G49">
        <f>ГАЗПРОМ_1[[#This Row],[Газпром-цена]]*ГАЗПРОМ_1[[#This Row],[Газпром-объем]]</f>
        <v>109415721648.00002</v>
      </c>
      <c r="I49" s="11" t="s">
        <v>13</v>
      </c>
      <c r="J49" s="11"/>
    </row>
    <row r="50" spans="1:17" x14ac:dyDescent="0.2">
      <c r="A50" s="14">
        <v>154.55000000000001</v>
      </c>
      <c r="B50" s="15">
        <v>680484920</v>
      </c>
      <c r="C50">
        <f>k1_*ГАЗПРОМ_1[[#This Row],[Газпром-цена]]+k0</f>
        <v>1629250404.2839949</v>
      </c>
      <c r="D50" s="23">
        <f>ГАЗПРОМ_1[[#This Row],[Газпром-объем]]-ГАЗПРОМ_1[[#This Row],[h=k1*x+k0]]</f>
        <v>-948765484.28399491</v>
      </c>
      <c r="E50" s="23">
        <f>ГАЗПРОМ_1[[#This Row],[y-h]]^2</f>
        <v>9.0015594416864346E+17</v>
      </c>
      <c r="F50">
        <f>ГАЗПРОМ_1[[#This Row],[Газпром-цена]]^2</f>
        <v>23885.702500000003</v>
      </c>
      <c r="G50">
        <f>ГАЗПРОМ_1[[#This Row],[Газпром-цена]]*ГАЗПРОМ_1[[#This Row],[Газпром-объем]]</f>
        <v>105168944386.00002</v>
      </c>
      <c r="I50" s="8" t="s">
        <v>14</v>
      </c>
      <c r="J50" s="8">
        <v>0.24454067403727983</v>
      </c>
    </row>
    <row r="51" spans="1:17" x14ac:dyDescent="0.2">
      <c r="A51" s="14">
        <v>149.80000000000001</v>
      </c>
      <c r="B51" s="15">
        <v>508472070</v>
      </c>
      <c r="C51">
        <f>k1_*ГАЗПРОМ_1[[#This Row],[Газпром-цена]]+k0</f>
        <v>1672792459.3796396</v>
      </c>
      <c r="D51" s="23">
        <f>ГАЗПРОМ_1[[#This Row],[Газпром-объем]]-ГАЗПРОМ_1[[#This Row],[h=k1*x+k0]]</f>
        <v>-1164320389.3796396</v>
      </c>
      <c r="E51" s="23">
        <f>ГАЗПРОМ_1[[#This Row],[y-h]]^2</f>
        <v>1.3556419691251556E+18</v>
      </c>
      <c r="F51">
        <f>ГАЗПРОМ_1[[#This Row],[Газпром-цена]]^2</f>
        <v>22440.040000000005</v>
      </c>
      <c r="G51">
        <f>ГАЗПРОМ_1[[#This Row],[Газпром-цена]]*ГАЗПРОМ_1[[#This Row],[Газпром-объем]]</f>
        <v>76169116086</v>
      </c>
      <c r="I51" s="8" t="s">
        <v>15</v>
      </c>
      <c r="J51" s="8">
        <v>5.9800141258607144E-2</v>
      </c>
    </row>
    <row r="52" spans="1:17" x14ac:dyDescent="0.2">
      <c r="A52" s="14">
        <v>134</v>
      </c>
      <c r="B52" s="15">
        <v>618092220</v>
      </c>
      <c r="C52">
        <f>k1_*ГАЗПРОМ_1[[#This Row],[Газпром-цена]]+k0</f>
        <v>1817627084.7504156</v>
      </c>
      <c r="D52" s="23">
        <f>ГАЗПРОМ_1[[#This Row],[Газпром-объем]]-ГАЗПРОМ_1[[#This Row],[h=k1*x+k0]]</f>
        <v>-1199534864.7504156</v>
      </c>
      <c r="E52" s="23">
        <f>ГАЗПРОМ_1[[#This Row],[y-h]]^2</f>
        <v>1.4388838917517978E+18</v>
      </c>
      <c r="F52">
        <f>ГАЗПРОМ_1[[#This Row],[Газпром-цена]]^2</f>
        <v>17956</v>
      </c>
      <c r="G52">
        <f>ГАЗПРОМ_1[[#This Row],[Газпром-цена]]*ГАЗПРОМ_1[[#This Row],[Газпром-объем]]</f>
        <v>82824357480</v>
      </c>
      <c r="I52" s="8" t="s">
        <v>16</v>
      </c>
      <c r="J52" s="8">
        <v>4.9580577576635483E-2</v>
      </c>
    </row>
    <row r="53" spans="1:17" x14ac:dyDescent="0.2">
      <c r="A53" s="14">
        <v>127.9</v>
      </c>
      <c r="B53" s="15">
        <v>754410290</v>
      </c>
      <c r="C53">
        <f>k1_*ГАЗПРОМ_1[[#This Row],[Газпром-цена]]+k0</f>
        <v>1873544250.2416646</v>
      </c>
      <c r="D53" s="23">
        <f>ГАЗПРОМ_1[[#This Row],[Газпром-объем]]-ГАЗПРОМ_1[[#This Row],[h=k1*x+k0]]</f>
        <v>-1119133960.2416646</v>
      </c>
      <c r="E53" s="23">
        <f>ГАЗПРОМ_1[[#This Row],[y-h]]^2</f>
        <v>1.2524608209661919E+18</v>
      </c>
      <c r="F53">
        <f>ГАЗПРОМ_1[[#This Row],[Газпром-цена]]^2</f>
        <v>16358.410000000002</v>
      </c>
      <c r="G53">
        <f>ГАЗПРОМ_1[[#This Row],[Газпром-цена]]*ГАЗПРОМ_1[[#This Row],[Газпром-объем]]</f>
        <v>96489076091</v>
      </c>
      <c r="I53" s="8" t="s">
        <v>17</v>
      </c>
      <c r="J53" s="8">
        <v>310370114.78260797</v>
      </c>
    </row>
    <row r="54" spans="1:17" ht="17" thickBot="1" x14ac:dyDescent="0.25">
      <c r="A54" s="14">
        <v>136.75</v>
      </c>
      <c r="B54" s="15">
        <v>750182400</v>
      </c>
      <c r="C54">
        <f>k1_*ГАЗПРОМ_1[[#This Row],[Газпром-цена]]+k0</f>
        <v>1792418526.5371478</v>
      </c>
      <c r="D54" s="23">
        <f>ГАЗПРОМ_1[[#This Row],[Газпром-объем]]-ГАЗПРОМ_1[[#This Row],[h=k1*x+k0]]</f>
        <v>-1042236126.5371478</v>
      </c>
      <c r="E54" s="23">
        <f>ГАЗПРОМ_1[[#This Row],[y-h]]^2</f>
        <v>1.0862561434591575E+18</v>
      </c>
      <c r="F54">
        <f>ГАЗПРОМ_1[[#This Row],[Газпром-цена]]^2</f>
        <v>18700.5625</v>
      </c>
      <c r="G54">
        <f>ГАЗПРОМ_1[[#This Row],[Газпром-цена]]*ГАЗПРОМ_1[[#This Row],[Газпром-объем]]</f>
        <v>102587443200</v>
      </c>
      <c r="I54" s="9" t="s">
        <v>18</v>
      </c>
      <c r="J54" s="9">
        <v>94</v>
      </c>
    </row>
    <row r="55" spans="1:17" x14ac:dyDescent="0.2">
      <c r="A55" s="14">
        <v>120.28</v>
      </c>
      <c r="B55" s="15">
        <v>683155600</v>
      </c>
      <c r="C55">
        <f>k1_*ГАЗПРОМ_1[[#This Row],[Газпром-цена]]+k0</f>
        <v>1943394873.3635199</v>
      </c>
      <c r="D55" s="23">
        <f>ГАЗПРОМ_1[[#This Row],[Газпром-объем]]-ГАЗПРОМ_1[[#This Row],[h=k1*x+k0]]</f>
        <v>-1260239273.3635199</v>
      </c>
      <c r="E55" s="23">
        <f>ГАЗПРОМ_1[[#This Row],[y-h]]^2</f>
        <v>1.5882030261278126E+18</v>
      </c>
      <c r="F55">
        <f>ГАЗПРОМ_1[[#This Row],[Газпром-цена]]^2</f>
        <v>14467.278400000001</v>
      </c>
      <c r="G55">
        <f>ГАЗПРОМ_1[[#This Row],[Газпром-цена]]*ГАЗПРОМ_1[[#This Row],[Газпром-объем]]</f>
        <v>82169955568</v>
      </c>
    </row>
    <row r="56" spans="1:17" ht="17" thickBot="1" x14ac:dyDescent="0.25">
      <c r="A56" s="14">
        <v>118.49</v>
      </c>
      <c r="B56" s="15">
        <v>682977210</v>
      </c>
      <c r="C56">
        <f>k1_*ГАЗПРОМ_1[[#This Row],[Газпром-цена]]+k0</f>
        <v>1959803353.0732472</v>
      </c>
      <c r="D56" s="23">
        <f>ГАЗПРОМ_1[[#This Row],[Газпром-объем]]-ГАЗПРОМ_1[[#This Row],[h=k1*x+k0]]</f>
        <v>-1276826143.0732472</v>
      </c>
      <c r="E56" s="23">
        <f>ГАЗПРОМ_1[[#This Row],[y-h]]^2</f>
        <v>1.6302849996353042E+18</v>
      </c>
      <c r="F56">
        <f>ГАЗПРОМ_1[[#This Row],[Газпром-цена]]^2</f>
        <v>14039.880099999998</v>
      </c>
      <c r="G56">
        <f>ГАЗПРОМ_1[[#This Row],[Газпром-цена]]*ГАЗПРОМ_1[[#This Row],[Газпром-объем]]</f>
        <v>80925969612.899994</v>
      </c>
      <c r="I56" t="s">
        <v>19</v>
      </c>
    </row>
    <row r="57" spans="1:17" x14ac:dyDescent="0.2">
      <c r="A57" s="14">
        <v>116.1</v>
      </c>
      <c r="B57" s="15">
        <v>572372360</v>
      </c>
      <c r="C57">
        <f>k1_*ГАЗПРОМ_1[[#This Row],[Газпром-цена]]+k0</f>
        <v>1981711881.8476872</v>
      </c>
      <c r="D57" s="23">
        <f>ГАЗПРОМ_1[[#This Row],[Газпром-объем]]-ГАЗПРОМ_1[[#This Row],[h=k1*x+k0]]</f>
        <v>-1409339521.8476872</v>
      </c>
      <c r="E57" s="23">
        <f>ГАЗПРОМ_1[[#This Row],[y-h]]^2</f>
        <v>1.9862378878418678E+18</v>
      </c>
      <c r="F57">
        <f>ГАЗПРОМ_1[[#This Row],[Газпром-цена]]^2</f>
        <v>13479.21</v>
      </c>
      <c r="G57">
        <f>ГАЗПРОМ_1[[#This Row],[Газпром-цена]]*ГАЗПРОМ_1[[#This Row],[Газпром-объем]]</f>
        <v>66452430996</v>
      </c>
      <c r="I57" s="10"/>
      <c r="J57" s="10" t="s">
        <v>24</v>
      </c>
      <c r="K57" s="10" t="s">
        <v>25</v>
      </c>
      <c r="L57" s="10" t="s">
        <v>26</v>
      </c>
      <c r="M57" s="10" t="s">
        <v>27</v>
      </c>
      <c r="N57" s="10" t="s">
        <v>28</v>
      </c>
    </row>
    <row r="58" spans="1:17" x14ac:dyDescent="0.2">
      <c r="A58" s="14">
        <v>117.97</v>
      </c>
      <c r="B58" s="15">
        <v>490084870</v>
      </c>
      <c r="C58">
        <f>k1_*ГАЗПРОМ_1[[#This Row],[Газпром-цена]]+k0</f>
        <v>1964570062.262665</v>
      </c>
      <c r="D58" s="23">
        <f>ГАЗПРОМ_1[[#This Row],[Газпром-объем]]-ГАЗПРОМ_1[[#This Row],[h=k1*x+k0]]</f>
        <v>-1474485192.262665</v>
      </c>
      <c r="E58" s="23">
        <f>ГАЗПРОМ_1[[#This Row],[y-h]]^2</f>
        <v>2.1741065822018683E+18</v>
      </c>
      <c r="F58">
        <f>ГАЗПРОМ_1[[#This Row],[Газпром-цена]]^2</f>
        <v>13916.920899999999</v>
      </c>
      <c r="G58">
        <f>ГАЗПРОМ_1[[#This Row],[Газпром-цена]]*ГАЗПРОМ_1[[#This Row],[Газпром-объем]]</f>
        <v>57815312113.900002</v>
      </c>
      <c r="I58" s="8" t="s">
        <v>20</v>
      </c>
      <c r="J58" s="8">
        <v>1</v>
      </c>
      <c r="K58" s="8">
        <v>5.6367613667582874E+17</v>
      </c>
      <c r="L58" s="8">
        <v>5.6367613667582874E+17</v>
      </c>
      <c r="M58" s="8">
        <v>5.8515356545114159</v>
      </c>
      <c r="N58" s="8">
        <v>1.7531294929194471E-2</v>
      </c>
    </row>
    <row r="59" spans="1:17" x14ac:dyDescent="0.2">
      <c r="A59" s="14">
        <v>122.2</v>
      </c>
      <c r="B59" s="15">
        <v>615131840</v>
      </c>
      <c r="C59">
        <f>k1_*ГАЗПРОМ_1[[#This Row],[Газпром-цена]]+k0</f>
        <v>1925794716.3564382</v>
      </c>
      <c r="D59" s="23">
        <f>ГАЗПРОМ_1[[#This Row],[Газпром-объем]]-ГАЗПРОМ_1[[#This Row],[h=k1*x+k0]]</f>
        <v>-1310662876.3564382</v>
      </c>
      <c r="E59" s="23">
        <f>ГАЗПРОМ_1[[#This Row],[y-h]]^2</f>
        <v>1.717837175458932E+18</v>
      </c>
      <c r="F59">
        <f>ГАЗПРОМ_1[[#This Row],[Газпром-цена]]^2</f>
        <v>14932.84</v>
      </c>
      <c r="G59">
        <f>ГАЗПРОМ_1[[#This Row],[Газпром-цена]]*ГАЗПРОМ_1[[#This Row],[Газпром-объем]]</f>
        <v>75169110848</v>
      </c>
      <c r="I59" s="8" t="s">
        <v>21</v>
      </c>
      <c r="J59" s="8">
        <v>92</v>
      </c>
      <c r="K59" s="8">
        <v>8.8623239498155694E+18</v>
      </c>
      <c r="L59" s="8">
        <v>9.6329608150169232E+16</v>
      </c>
      <c r="M59" s="8"/>
      <c r="N59" s="8"/>
    </row>
    <row r="60" spans="1:17" ht="17" thickBot="1" x14ac:dyDescent="0.25">
      <c r="A60" s="14">
        <v>125.9</v>
      </c>
      <c r="B60" s="15">
        <v>511657140</v>
      </c>
      <c r="C60">
        <f>k1_*ГАЗПРОМ_1[[#This Row],[Газпром-цена]]+k0</f>
        <v>1891877747.1240413</v>
      </c>
      <c r="D60" s="23">
        <f>ГАЗПРОМ_1[[#This Row],[Газпром-объем]]-ГАЗПРОМ_1[[#This Row],[h=k1*x+k0]]</f>
        <v>-1380220607.1240413</v>
      </c>
      <c r="E60" s="23">
        <f>ГАЗПРОМ_1[[#This Row],[y-h]]^2</f>
        <v>1.9050089243298573E+18</v>
      </c>
      <c r="F60">
        <f>ГАЗПРОМ_1[[#This Row],[Газпром-цена]]^2</f>
        <v>15850.810000000001</v>
      </c>
      <c r="G60">
        <f>ГАЗПРОМ_1[[#This Row],[Газпром-цена]]*ГАЗПРОМ_1[[#This Row],[Газпром-объем]]</f>
        <v>64417633926</v>
      </c>
      <c r="I60" s="9" t="s">
        <v>22</v>
      </c>
      <c r="J60" s="9">
        <v>93</v>
      </c>
      <c r="K60" s="9">
        <v>9.4260000864913981E+18</v>
      </c>
      <c r="L60" s="9"/>
      <c r="M60" s="9"/>
      <c r="N60" s="9"/>
    </row>
    <row r="61" spans="1:17" ht="17" thickBot="1" x14ac:dyDescent="0.25">
      <c r="A61" s="14">
        <v>132.15</v>
      </c>
      <c r="B61" s="15">
        <v>670673200</v>
      </c>
      <c r="C61">
        <f>k1_*ГАЗПРОМ_1[[#This Row],[Газпром-цена]]+k0</f>
        <v>1834585569.3666141</v>
      </c>
      <c r="D61" s="23">
        <f>ГАЗПРОМ_1[[#This Row],[Газпром-объем]]-ГАЗПРОМ_1[[#This Row],[h=k1*x+k0]]</f>
        <v>-1163912369.3666141</v>
      </c>
      <c r="E61" s="23">
        <f>ГАЗПРОМ_1[[#This Row],[y-h]]^2</f>
        <v>1.3546920035646054E+18</v>
      </c>
      <c r="F61">
        <f>ГАЗПРОМ_1[[#This Row],[Газпром-цена]]^2</f>
        <v>17463.622500000001</v>
      </c>
      <c r="G61">
        <f>ГАЗПРОМ_1[[#This Row],[Газпром-цена]]*ГАЗПРОМ_1[[#This Row],[Газпром-объем]]</f>
        <v>88629463380</v>
      </c>
    </row>
    <row r="62" spans="1:17" x14ac:dyDescent="0.2">
      <c r="A62" s="14">
        <v>130.5</v>
      </c>
      <c r="B62" s="15">
        <v>417311690</v>
      </c>
      <c r="C62">
        <f>k1_*ГАЗПРОМ_1[[#This Row],[Газпром-цена]]+k0</f>
        <v>1849710704.294575</v>
      </c>
      <c r="D62" s="23">
        <f>ГАЗПРОМ_1[[#This Row],[Газпром-объем]]-ГАЗПРОМ_1[[#This Row],[h=k1*x+k0]]</f>
        <v>-1432399014.294575</v>
      </c>
      <c r="E62" s="23">
        <f>ГАЗПРОМ_1[[#This Row],[y-h]]^2</f>
        <v>2.0517669361520699E+18</v>
      </c>
      <c r="F62">
        <f>ГАЗПРОМ_1[[#This Row],[Газпром-цена]]^2</f>
        <v>17030.25</v>
      </c>
      <c r="G62">
        <f>ГАЗПРОМ_1[[#This Row],[Газпром-цена]]*ГАЗПРОМ_1[[#This Row],[Газпром-объем]]</f>
        <v>54459175545</v>
      </c>
      <c r="I62" s="10"/>
      <c r="J62" s="10" t="s">
        <v>29</v>
      </c>
      <c r="K62" s="10" t="s">
        <v>17</v>
      </c>
      <c r="L62" s="10" t="s">
        <v>30</v>
      </c>
      <c r="M62" s="10" t="s">
        <v>31</v>
      </c>
      <c r="N62" s="10" t="s">
        <v>32</v>
      </c>
      <c r="O62" s="10" t="s">
        <v>33</v>
      </c>
      <c r="P62" s="10" t="s">
        <v>34</v>
      </c>
      <c r="Q62" s="10" t="s">
        <v>35</v>
      </c>
    </row>
    <row r="63" spans="1:17" x14ac:dyDescent="0.2">
      <c r="A63" s="14">
        <v>143.36000000000001</v>
      </c>
      <c r="B63" s="15">
        <v>758630450</v>
      </c>
      <c r="C63">
        <f>k1_*ГАЗПРОМ_1[[#This Row],[Газпром-цена]]+k0</f>
        <v>1731826319.3408926</v>
      </c>
      <c r="D63" s="23">
        <f>ГАЗПРОМ_1[[#This Row],[Газпром-объем]]-ГАЗПРОМ_1[[#This Row],[h=k1*x+k0]]</f>
        <v>-973195869.34089255</v>
      </c>
      <c r="E63" s="23">
        <f>ГАЗПРОМ_1[[#This Row],[y-h]]^2</f>
        <v>9.4711020010217562E+17</v>
      </c>
      <c r="F63">
        <f>ГАЗПРОМ_1[[#This Row],[Газпром-цена]]^2</f>
        <v>20552.089600000003</v>
      </c>
      <c r="G63">
        <f>ГАЗПРОМ_1[[#This Row],[Газпром-цена]]*ГАЗПРОМ_1[[#This Row],[Газпром-объем]]</f>
        <v>108757261312.00002</v>
      </c>
      <c r="I63" s="8" t="s">
        <v>23</v>
      </c>
      <c r="J63" s="8">
        <v>402830406.64225376</v>
      </c>
      <c r="K63" s="8">
        <v>153548207.9197095</v>
      </c>
      <c r="L63" s="8">
        <v>2.6234783987377708</v>
      </c>
      <c r="M63" s="8">
        <v>1.0188760252564886E-2</v>
      </c>
      <c r="N63" s="8">
        <v>97870411.900551617</v>
      </c>
      <c r="O63" s="8">
        <v>707790401.38395596</v>
      </c>
      <c r="P63" s="8">
        <v>97870411.900551617</v>
      </c>
      <c r="Q63" s="8">
        <v>707790401.38395596</v>
      </c>
    </row>
    <row r="64" spans="1:17" ht="17" thickBot="1" x14ac:dyDescent="0.25">
      <c r="A64" s="14">
        <v>143.16</v>
      </c>
      <c r="B64" s="15">
        <v>675058310</v>
      </c>
      <c r="C64">
        <f>k1_*ГАЗПРОМ_1[[#This Row],[Газпром-цена]]+k0</f>
        <v>1733659669.0291305</v>
      </c>
      <c r="D64" s="23">
        <f>ГАЗПРОМ_1[[#This Row],[Газпром-объем]]-ГАЗПРОМ_1[[#This Row],[h=k1*x+k0]]</f>
        <v>-1058601359.0291305</v>
      </c>
      <c r="E64" s="23">
        <f>ГАЗПРОМ_1[[#This Row],[y-h]]^2</f>
        <v>1.1206368373383219E+18</v>
      </c>
      <c r="F64">
        <f>ГАЗПРОМ_1[[#This Row],[Газпром-цена]]^2</f>
        <v>20494.785599999999</v>
      </c>
      <c r="G64">
        <f>ГАЗПРОМ_1[[#This Row],[Газпром-цена]]*ГАЗПРОМ_1[[#This Row],[Газпром-объем]]</f>
        <v>96641347659.599991</v>
      </c>
      <c r="I64" s="9" t="s">
        <v>36</v>
      </c>
      <c r="J64" s="9">
        <v>2362079.1322129713</v>
      </c>
      <c r="K64" s="9">
        <v>976471.3715551456</v>
      </c>
      <c r="L64" s="9">
        <v>2.4189947611583147</v>
      </c>
      <c r="M64" s="9">
        <v>1.7531294929195012E-2</v>
      </c>
      <c r="N64" s="9">
        <v>422722.70227279398</v>
      </c>
      <c r="O64" s="9">
        <v>4301435.5621531485</v>
      </c>
      <c r="P64" s="9">
        <v>422722.70227279398</v>
      </c>
      <c r="Q64" s="9">
        <v>4301435.5621531485</v>
      </c>
    </row>
    <row r="65" spans="1:15" x14ac:dyDescent="0.2">
      <c r="A65" s="14">
        <v>142.33000000000001</v>
      </c>
      <c r="B65" s="15">
        <v>550336390</v>
      </c>
      <c r="C65">
        <f>k1_*ГАЗПРОМ_1[[#This Row],[Газпром-цена]]+k0</f>
        <v>1741268070.2353165</v>
      </c>
      <c r="D65" s="23">
        <f>ГАЗПРОМ_1[[#This Row],[Газпром-объем]]-ГАЗПРОМ_1[[#This Row],[h=k1*x+k0]]</f>
        <v>-1190931680.2353165</v>
      </c>
      <c r="E65" s="23">
        <f>ГАЗПРОМ_1[[#This Row],[y-h]]^2</f>
        <v>1.4183182669881142E+18</v>
      </c>
      <c r="F65">
        <f>ГАЗПРОМ_1[[#This Row],[Газпром-цена]]^2</f>
        <v>20257.828900000004</v>
      </c>
      <c r="G65">
        <f>ГАЗПРОМ_1[[#This Row],[Газпром-цена]]*ГАЗПРОМ_1[[#This Row],[Газпром-объем]]</f>
        <v>78329378388.700012</v>
      </c>
    </row>
    <row r="66" spans="1:15" x14ac:dyDescent="0.2">
      <c r="A66" s="14">
        <v>145.93</v>
      </c>
      <c r="B66" s="15">
        <v>654967610</v>
      </c>
      <c r="C66">
        <f>k1_*ГАЗПРОМ_1[[#This Row],[Газпром-цена]]+k0</f>
        <v>1708267775.8470385</v>
      </c>
      <c r="D66" s="23">
        <f>ГАЗПРОМ_1[[#This Row],[Газпром-объем]]-ГАЗПРОМ_1[[#This Row],[h=k1*x+k0]]</f>
        <v>-1053300165.8470385</v>
      </c>
      <c r="E66" s="23">
        <f>ГАЗПРОМ_1[[#This Row],[y-h]]^2</f>
        <v>1.1094412393733988E+18</v>
      </c>
      <c r="F66">
        <f>ГАЗПРОМ_1[[#This Row],[Газпром-цена]]^2</f>
        <v>21295.564900000001</v>
      </c>
      <c r="G66">
        <f>ГАЗПРОМ_1[[#This Row],[Газпром-цена]]*ГАЗПРОМ_1[[#This Row],[Газпром-объем]]</f>
        <v>95579423327.300003</v>
      </c>
    </row>
    <row r="67" spans="1:15" x14ac:dyDescent="0.2">
      <c r="A67" s="14">
        <v>145</v>
      </c>
      <c r="B67" s="15">
        <v>457602320</v>
      </c>
      <c r="C67">
        <f>k1_*ГАЗПРОМ_1[[#This Row],[Газпром-цена]]+k0</f>
        <v>1716792851.8973436</v>
      </c>
      <c r="D67" s="23">
        <f>ГАЗПРОМ_1[[#This Row],[Газпром-объем]]-ГАЗПРОМ_1[[#This Row],[h=k1*x+k0]]</f>
        <v>-1259190531.8973436</v>
      </c>
      <c r="E67" s="23">
        <f>ГАЗПРОМ_1[[#This Row],[y-h]]^2</f>
        <v>1.5855607956199153E+18</v>
      </c>
      <c r="F67">
        <f>ГАЗПРОМ_1[[#This Row],[Газпром-цена]]^2</f>
        <v>21025</v>
      </c>
      <c r="G67">
        <f>ГАЗПРОМ_1[[#This Row],[Газпром-цена]]*ГАЗПРОМ_1[[#This Row],[Газпром-объем]]</f>
        <v>66352336400</v>
      </c>
    </row>
    <row r="68" spans="1:15" x14ac:dyDescent="0.2">
      <c r="A68" s="14">
        <v>141.01</v>
      </c>
      <c r="B68" s="15">
        <v>439786830</v>
      </c>
      <c r="C68">
        <f>k1_*ГАЗПРОМ_1[[#This Row],[Газпром-цена]]+k0</f>
        <v>1753368178.1776853</v>
      </c>
      <c r="D68" s="23">
        <f>ГАЗПРОМ_1[[#This Row],[Газпром-объем]]-ГАЗПРОМ_1[[#This Row],[h=k1*x+k0]]</f>
        <v>-1313581348.1776853</v>
      </c>
      <c r="E68" s="23">
        <f>ГАЗПРОМ_1[[#This Row],[y-h]]^2</f>
        <v>1.7254959582803052E+18</v>
      </c>
      <c r="F68">
        <f>ГАЗПРОМ_1[[#This Row],[Газпром-цена]]^2</f>
        <v>19883.820099999997</v>
      </c>
      <c r="G68">
        <f>ГАЗПРОМ_1[[#This Row],[Газпром-цена]]*ГАЗПРОМ_1[[#This Row],[Газпром-объем]]</f>
        <v>62014340898.299995</v>
      </c>
      <c r="I68" t="s">
        <v>37</v>
      </c>
      <c r="N68" t="s">
        <v>42</v>
      </c>
    </row>
    <row r="69" spans="1:15" ht="17" thickBot="1" x14ac:dyDescent="0.25">
      <c r="A69" s="14">
        <v>143.79</v>
      </c>
      <c r="B69" s="15">
        <v>403411200</v>
      </c>
      <c r="C69">
        <f>k1_*ГАЗПРОМ_1[[#This Row],[Газпром-цена]]+k0</f>
        <v>1727884617.5111818</v>
      </c>
      <c r="D69" s="23">
        <f>ГАЗПРОМ_1[[#This Row],[Газпром-объем]]-ГАЗПРОМ_1[[#This Row],[h=k1*x+k0]]</f>
        <v>-1324473417.5111818</v>
      </c>
      <c r="E69" s="23">
        <f>ГАЗПРОМ_1[[#This Row],[y-h]]^2</f>
        <v>1.7542298336937495E+18</v>
      </c>
      <c r="F69">
        <f>ГАЗПРОМ_1[[#This Row],[Газпром-цена]]^2</f>
        <v>20675.564099999996</v>
      </c>
      <c r="G69">
        <f>ГАЗПРОМ_1[[#This Row],[Газпром-цена]]*ГАЗПРОМ_1[[#This Row],[Газпром-объем]]</f>
        <v>58006496448</v>
      </c>
    </row>
    <row r="70" spans="1:15" x14ac:dyDescent="0.2">
      <c r="A70" s="14">
        <v>149.94999999999999</v>
      </c>
      <c r="B70" s="15">
        <v>441314630</v>
      </c>
      <c r="C70">
        <f>k1_*ГАЗПРОМ_1[[#This Row],[Газпром-цена]]+k0</f>
        <v>1671417447.1134615</v>
      </c>
      <c r="D70" s="23">
        <f>ГАЗПРОМ_1[[#This Row],[Газпром-объем]]-ГАЗПРОМ_1[[#This Row],[h=k1*x+k0]]</f>
        <v>-1230102817.1134615</v>
      </c>
      <c r="E70" s="23">
        <f>ГАЗПРОМ_1[[#This Row],[y-h]]^2</f>
        <v>1.513152940670474E+18</v>
      </c>
      <c r="F70">
        <f>ГАЗПРОМ_1[[#This Row],[Газпром-цена]]^2</f>
        <v>22485.002499999995</v>
      </c>
      <c r="G70">
        <f>ГАЗПРОМ_1[[#This Row],[Газпром-цена]]*ГАЗПРОМ_1[[#This Row],[Газпром-объем]]</f>
        <v>66175128768.499992</v>
      </c>
      <c r="I70" s="10" t="s">
        <v>38</v>
      </c>
      <c r="J70" s="10" t="s">
        <v>39</v>
      </c>
      <c r="K70" s="10" t="s">
        <v>40</v>
      </c>
      <c r="L70" s="10" t="s">
        <v>41</v>
      </c>
      <c r="N70" s="10" t="s">
        <v>43</v>
      </c>
      <c r="O70" s="10" t="s">
        <v>44</v>
      </c>
    </row>
    <row r="71" spans="1:15" x14ac:dyDescent="0.2">
      <c r="A71" s="14">
        <v>162.61000000000001</v>
      </c>
      <c r="B71" s="15">
        <v>553952660</v>
      </c>
      <c r="C71">
        <f>k1_*ГАЗПРОМ_1[[#This Row],[Газпром-цена]]+k0</f>
        <v>1555366411.8480167</v>
      </c>
      <c r="D71" s="23">
        <f>ГАЗПРОМ_1[[#This Row],[Газпром-объем]]-ГАЗПРОМ_1[[#This Row],[h=k1*x+k0]]</f>
        <v>-1001413751.8480167</v>
      </c>
      <c r="E71" s="23">
        <f>ГАЗПРОМ_1[[#This Row],[y-h]]^2</f>
        <v>1.0028295023903213E+18</v>
      </c>
      <c r="F71">
        <f>ГАЗПРОМ_1[[#This Row],[Газпром-цена]]^2</f>
        <v>26442.012100000004</v>
      </c>
      <c r="G71">
        <f>ГАЗПРОМ_1[[#This Row],[Газпром-цена]]*ГАЗПРОМ_1[[#This Row],[Газпром-объем]]</f>
        <v>90078242042.600006</v>
      </c>
      <c r="I71" s="8">
        <v>1</v>
      </c>
      <c r="J71" s="8">
        <v>742261177.94125772</v>
      </c>
      <c r="K71" s="8">
        <v>-103292717.94125772</v>
      </c>
      <c r="L71" s="8">
        <v>-0.33460880808192978</v>
      </c>
      <c r="N71" s="8">
        <v>0.53191489361702127</v>
      </c>
      <c r="O71" s="8">
        <v>98371280</v>
      </c>
    </row>
    <row r="72" spans="1:15" x14ac:dyDescent="0.2">
      <c r="A72" s="14">
        <v>155.47</v>
      </c>
      <c r="B72" s="15">
        <v>708218240</v>
      </c>
      <c r="C72">
        <f>k1_*ГАЗПРОМ_1[[#This Row],[Газпром-цена]]+k0</f>
        <v>1620816995.7181017</v>
      </c>
      <c r="D72" s="23">
        <f>ГАЗПРОМ_1[[#This Row],[Газпром-объем]]-ГАЗПРОМ_1[[#This Row],[h=k1*x+k0]]</f>
        <v>-912598755.71810174</v>
      </c>
      <c r="E72" s="23">
        <f>ГАЗПРОМ_1[[#This Row],[y-h]]^2</f>
        <v>8.3283648893822758E+17</v>
      </c>
      <c r="F72">
        <f>ГАЗПРОМ_1[[#This Row],[Газпром-цена]]^2</f>
        <v>24170.920900000001</v>
      </c>
      <c r="G72">
        <f>ГАЗПРОМ_1[[#This Row],[Газпром-цена]]*ГАЗПРОМ_1[[#This Row],[Газпром-объем]]</f>
        <v>110106689772.8</v>
      </c>
      <c r="I72" s="8">
        <v>2</v>
      </c>
      <c r="J72" s="8">
        <v>738458230.53839493</v>
      </c>
      <c r="K72" s="8">
        <v>-243174710.53839493</v>
      </c>
      <c r="L72" s="8">
        <v>-0.78774575469293595</v>
      </c>
      <c r="N72" s="8">
        <v>1.5957446808510638</v>
      </c>
      <c r="O72" s="8">
        <v>394617870</v>
      </c>
    </row>
    <row r="73" spans="1:15" x14ac:dyDescent="0.2">
      <c r="A73" s="14">
        <v>161.29</v>
      </c>
      <c r="B73" s="15">
        <v>554088010</v>
      </c>
      <c r="C73">
        <f>k1_*ГАЗПРОМ_1[[#This Row],[Газпром-цена]]+k0</f>
        <v>1567466519.7903855</v>
      </c>
      <c r="D73" s="23">
        <f>ГАЗПРОМ_1[[#This Row],[Газпром-объем]]-ГАЗПРОМ_1[[#This Row],[h=k1*x+k0]]</f>
        <v>-1013378509.7903855</v>
      </c>
      <c r="E73" s="23">
        <f>ГАЗПРОМ_1[[#This Row],[y-h]]^2</f>
        <v>1.0269360041049824E+18</v>
      </c>
      <c r="F73">
        <f>ГАЗПРОМ_1[[#This Row],[Газпром-цена]]^2</f>
        <v>26014.464099999997</v>
      </c>
      <c r="G73">
        <f>ГАЗПРОМ_1[[#This Row],[Газпром-цена]]*ГАЗПРОМ_1[[#This Row],[Газпром-объем]]</f>
        <v>89368855132.899994</v>
      </c>
      <c r="I73" s="8">
        <v>3</v>
      </c>
      <c r="J73" s="8">
        <v>727380079.40831602</v>
      </c>
      <c r="K73" s="8">
        <v>6390840.5916839838</v>
      </c>
      <c r="L73" s="8">
        <v>2.0702636116527721E-2</v>
      </c>
      <c r="N73" s="8">
        <v>2.6595744680851063</v>
      </c>
      <c r="O73" s="8">
        <v>394761860</v>
      </c>
    </row>
    <row r="74" spans="1:15" x14ac:dyDescent="0.2">
      <c r="A74" s="14">
        <v>153.5</v>
      </c>
      <c r="B74" s="15">
        <v>435896450</v>
      </c>
      <c r="C74">
        <f>k1_*ГАЗПРОМ_1[[#This Row],[Газпром-цена]]+k0</f>
        <v>1638875490.1472428</v>
      </c>
      <c r="D74" s="23">
        <f>ГАЗПРОМ_1[[#This Row],[Газпром-объем]]-ГАЗПРОМ_1[[#This Row],[h=k1*x+k0]]</f>
        <v>-1202979040.1472428</v>
      </c>
      <c r="E74" s="23">
        <f>ГАЗПРОМ_1[[#This Row],[y-h]]^2</f>
        <v>1.4471585710335816E+18</v>
      </c>
      <c r="F74">
        <f>ГАЗПРОМ_1[[#This Row],[Газпром-цена]]^2</f>
        <v>23562.25</v>
      </c>
      <c r="G74">
        <f>ГАЗПРОМ_1[[#This Row],[Газпром-цена]]*ГАЗПРОМ_1[[#This Row],[Газпром-объем]]</f>
        <v>66910105075</v>
      </c>
      <c r="I74" s="8">
        <v>4</v>
      </c>
      <c r="J74" s="8">
        <v>719537976.68936896</v>
      </c>
      <c r="K74" s="8">
        <v>234435093.31063104</v>
      </c>
      <c r="L74" s="8">
        <v>0.75943443747754957</v>
      </c>
      <c r="N74" s="8">
        <v>3.7234042553191489</v>
      </c>
      <c r="O74" s="8">
        <v>403411200</v>
      </c>
    </row>
    <row r="75" spans="1:15" x14ac:dyDescent="0.2">
      <c r="A75" s="14">
        <v>162.82</v>
      </c>
      <c r="B75" s="15">
        <v>394617870</v>
      </c>
      <c r="C75">
        <f>k1_*ГАЗПРОМ_1[[#This Row],[Газпром-цена]]+k0</f>
        <v>1553441394.6753674</v>
      </c>
      <c r="D75" s="23">
        <f>ГАЗПРОМ_1[[#This Row],[Газпром-объем]]-ГАЗПРОМ_1[[#This Row],[h=k1*x+k0]]</f>
        <v>-1158823524.6753674</v>
      </c>
      <c r="E75" s="23">
        <f>ГАЗПРОМ_1[[#This Row],[y-h]]^2</f>
        <v>1.3428719613410417E+18</v>
      </c>
      <c r="F75">
        <f>ГАЗПРОМ_1[[#This Row],[Газпром-цена]]^2</f>
        <v>26510.352399999996</v>
      </c>
      <c r="G75">
        <f>ГАЗПРОМ_1[[#This Row],[Газпром-цена]]*ГАЗПРОМ_1[[#This Row],[Газпром-объем]]</f>
        <v>64251681593.399994</v>
      </c>
      <c r="I75" s="8">
        <v>5</v>
      </c>
      <c r="J75" s="8">
        <v>696082530.90649414</v>
      </c>
      <c r="K75" s="8">
        <v>290239229.09350586</v>
      </c>
      <c r="L75" s="8">
        <v>0.940207639427458</v>
      </c>
      <c r="N75" s="8">
        <v>4.787234042553191</v>
      </c>
      <c r="O75" s="8">
        <v>409341480</v>
      </c>
    </row>
    <row r="76" spans="1:15" x14ac:dyDescent="0.2">
      <c r="A76" s="14">
        <v>158.99</v>
      </c>
      <c r="B76" s="15">
        <v>394761860</v>
      </c>
      <c r="C76">
        <f>k1_*ГАЗПРОМ_1[[#This Row],[Газпром-цена]]+k0</f>
        <v>1588550041.2051184</v>
      </c>
      <c r="D76" s="23">
        <f>ГАЗПРОМ_1[[#This Row],[Газпром-объем]]-ГАЗПРОМ_1[[#This Row],[h=k1*x+k0]]</f>
        <v>-1193788181.2051184</v>
      </c>
      <c r="E76" s="23">
        <f>ГАЗПРОМ_1[[#This Row],[y-h]]^2</f>
        <v>1.4251302215850248E+18</v>
      </c>
      <c r="F76">
        <f>ГАЗПРОМ_1[[#This Row],[Газпром-цена]]^2</f>
        <v>25277.820100000004</v>
      </c>
      <c r="G76">
        <f>ГАЗПРОМ_1[[#This Row],[Газпром-цена]]*ГАЗПРОМ_1[[#This Row],[Газпром-объем]]</f>
        <v>62763188121.400002</v>
      </c>
      <c r="I76" s="8">
        <v>6</v>
      </c>
      <c r="J76" s="8">
        <v>694310971.55733442</v>
      </c>
      <c r="K76" s="8">
        <v>119464028.44266558</v>
      </c>
      <c r="L76" s="8">
        <v>0.38699452355004377</v>
      </c>
      <c r="N76" s="8">
        <v>5.8510638297872344</v>
      </c>
      <c r="O76" s="8">
        <v>417311690</v>
      </c>
    </row>
    <row r="77" spans="1:15" x14ac:dyDescent="0.2">
      <c r="A77" s="14">
        <v>149.61000000000001</v>
      </c>
      <c r="B77" s="15">
        <v>424906810</v>
      </c>
      <c r="C77">
        <f>k1_*ГАЗПРОМ_1[[#This Row],[Газпром-цена]]+k0</f>
        <v>1674534141.5834653</v>
      </c>
      <c r="D77" s="23">
        <f>ГАЗПРОМ_1[[#This Row],[Газпром-объем]]-ГАЗПРОМ_1[[#This Row],[h=k1*x+k0]]</f>
        <v>-1249627331.5834653</v>
      </c>
      <c r="E77" s="23">
        <f>ГАЗПРОМ_1[[#This Row],[y-h]]^2</f>
        <v>1.5615684678404119E+18</v>
      </c>
      <c r="F77">
        <f>ГАЗПРОМ_1[[#This Row],[Газпром-цена]]^2</f>
        <v>22383.152100000003</v>
      </c>
      <c r="G77">
        <f>ГАЗПРОМ_1[[#This Row],[Газпром-цена]]*ГАЗПРОМ_1[[#This Row],[Газпром-объем]]</f>
        <v>63570307844.100006</v>
      </c>
      <c r="I77" s="8">
        <v>7</v>
      </c>
      <c r="J77" s="8">
        <v>660533239.96668887</v>
      </c>
      <c r="K77" s="8">
        <v>108760150.03331113</v>
      </c>
      <c r="L77" s="8">
        <v>0.35232013344981572</v>
      </c>
      <c r="N77" s="8">
        <v>6.914893617021276</v>
      </c>
      <c r="O77" s="8">
        <v>424906810</v>
      </c>
    </row>
    <row r="78" spans="1:15" x14ac:dyDescent="0.2">
      <c r="A78" s="14">
        <v>163.95</v>
      </c>
      <c r="B78" s="15">
        <v>576420680</v>
      </c>
      <c r="C78">
        <f>k1_*ГАЗПРОМ_1[[#This Row],[Газпром-цена]]+k0</f>
        <v>1543082968.9368246</v>
      </c>
      <c r="D78" s="23">
        <f>ГАЗПРОМ_1[[#This Row],[Газпром-объем]]-ГАЗПРОМ_1[[#This Row],[h=k1*x+k0]]</f>
        <v>-966662288.93682456</v>
      </c>
      <c r="E78" s="23">
        <f>ГАЗПРОМ_1[[#This Row],[y-h]]^2</f>
        <v>9.3443598085258086E+17</v>
      </c>
      <c r="F78">
        <f>ГАЗПРОМ_1[[#This Row],[Газпром-цена]]^2</f>
        <v>26879.602499999997</v>
      </c>
      <c r="G78">
        <f>ГАЗПРОМ_1[[#This Row],[Газпром-цена]]*ГАЗПРОМ_1[[#This Row],[Газпром-объем]]</f>
        <v>94504170486</v>
      </c>
      <c r="I78" s="8">
        <v>8</v>
      </c>
      <c r="J78" s="8">
        <v>706617403.836164</v>
      </c>
      <c r="K78" s="8">
        <v>172845386.163836</v>
      </c>
      <c r="L78" s="8">
        <v>0.55991932247956711</v>
      </c>
      <c r="N78" s="8">
        <v>7.9787234042553195</v>
      </c>
      <c r="O78" s="8">
        <v>435896450</v>
      </c>
    </row>
    <row r="79" spans="1:15" x14ac:dyDescent="0.2">
      <c r="A79" s="14">
        <v>215.1</v>
      </c>
      <c r="B79" s="15">
        <v>1077221090</v>
      </c>
      <c r="C79">
        <f>k1_*ГАЗПРОМ_1[[#This Row],[Газпром-цена]]+k0</f>
        <v>1074203786.1700399</v>
      </c>
      <c r="D79" s="23">
        <f>ГАЗПРОМ_1[[#This Row],[Газпром-объем]]-ГАЗПРОМ_1[[#This Row],[h=k1*x+k0]]</f>
        <v>3017303.8299601078</v>
      </c>
      <c r="E79" s="23">
        <f>ГАЗПРОМ_1[[#This Row],[y-h]]^2</f>
        <v>9104122402291.9355</v>
      </c>
      <c r="F79">
        <f>ГАЗПРОМ_1[[#This Row],[Газпром-цена]]^2</f>
        <v>46268.009999999995</v>
      </c>
      <c r="G79">
        <f>ГАЗПРОМ_1[[#This Row],[Газпром-цена]]*ГАЗПРОМ_1[[#This Row],[Газпром-объем]]</f>
        <v>231710256459</v>
      </c>
      <c r="I79" s="8">
        <v>9</v>
      </c>
      <c r="J79" s="8">
        <v>714388644.18114471</v>
      </c>
      <c r="K79" s="8">
        <v>-78894134.181144714</v>
      </c>
      <c r="L79" s="8">
        <v>-0.25557147424488841</v>
      </c>
      <c r="N79" s="8">
        <v>9.0425531914893611</v>
      </c>
      <c r="O79" s="8">
        <v>439786830</v>
      </c>
    </row>
    <row r="80" spans="1:15" x14ac:dyDescent="0.2">
      <c r="A80" s="14">
        <v>232.83</v>
      </c>
      <c r="B80" s="15">
        <v>918359340</v>
      </c>
      <c r="C80">
        <f>k1_*ГАЗПРОМ_1[[#This Row],[Газпром-цена]]+k0</f>
        <v>911677336.30777025</v>
      </c>
      <c r="D80" s="23">
        <f>ГАЗПРОМ_1[[#This Row],[Газпром-объем]]-ГАЗПРОМ_1[[#This Row],[h=k1*x+k0]]</f>
        <v>6682003.6922297478</v>
      </c>
      <c r="E80" s="23">
        <f>ГАЗПРОМ_1[[#This Row],[y-h]]^2</f>
        <v>44649173342971.984</v>
      </c>
      <c r="F80">
        <f>ГАЗПРОМ_1[[#This Row],[Газпром-цена]]^2</f>
        <v>54209.808900000004</v>
      </c>
      <c r="G80">
        <f>ГАЗПРОМ_1[[#This Row],[Газпром-цена]]*ГАЗПРОМ_1[[#This Row],[Газпром-объем]]</f>
        <v>213821605132.20001</v>
      </c>
      <c r="I80" s="8">
        <v>10</v>
      </c>
      <c r="J80" s="8">
        <v>743324113.55075359</v>
      </c>
      <c r="K80" s="8">
        <v>291990416.44924641</v>
      </c>
      <c r="L80" s="8">
        <v>0.94588047605632597</v>
      </c>
      <c r="N80" s="8">
        <v>10.106382978723403</v>
      </c>
      <c r="O80" s="8">
        <v>441314630</v>
      </c>
    </row>
    <row r="81" spans="1:15" x14ac:dyDescent="0.2">
      <c r="A81" s="14">
        <v>236.9</v>
      </c>
      <c r="B81" s="15">
        <v>1185460410</v>
      </c>
      <c r="C81">
        <f>k1_*ГАЗПРОМ_1[[#This Row],[Газпром-цена]]+k0</f>
        <v>874368670.15213346</v>
      </c>
      <c r="D81" s="23">
        <f>ГАЗПРОМ_1[[#This Row],[Газпром-объем]]-ГАЗПРОМ_1[[#This Row],[h=k1*x+k0]]</f>
        <v>311091739.84786654</v>
      </c>
      <c r="E81" s="23">
        <f>ГАЗПРОМ_1[[#This Row],[y-h]]^2</f>
        <v>9.6778070601572672E+16</v>
      </c>
      <c r="F81">
        <f>ГАЗПРОМ_1[[#This Row],[Газпром-цена]]^2</f>
        <v>56121.61</v>
      </c>
      <c r="G81">
        <f>ГАЗПРОМ_1[[#This Row],[Газпром-цена]]*ГАЗПРОМ_1[[#This Row],[Газпром-объем]]</f>
        <v>280835571129</v>
      </c>
      <c r="I81" s="8">
        <v>11</v>
      </c>
      <c r="J81" s="8">
        <v>758087108.12708473</v>
      </c>
      <c r="K81" s="8">
        <v>362291961.87291527</v>
      </c>
      <c r="L81" s="8">
        <v>1.1736169204967679</v>
      </c>
      <c r="N81" s="8">
        <v>11.170212765957446</v>
      </c>
      <c r="O81" s="8">
        <v>457602320</v>
      </c>
    </row>
    <row r="82" spans="1:15" x14ac:dyDescent="0.2">
      <c r="A82" s="14">
        <v>232.15</v>
      </c>
      <c r="B82" s="15">
        <v>715634720</v>
      </c>
      <c r="C82">
        <f>k1_*ГАЗПРОМ_1[[#This Row],[Газпром-цена]]+k0</f>
        <v>917910725.24777842</v>
      </c>
      <c r="D82" s="23">
        <f>ГАЗПРОМ_1[[#This Row],[Газпром-объем]]-ГАЗПРОМ_1[[#This Row],[h=k1*x+k0]]</f>
        <v>-202276005.24777842</v>
      </c>
      <c r="E82" s="23">
        <f>ГАЗПРОМ_1[[#This Row],[y-h]]^2</f>
        <v>4.091558229899928E+16</v>
      </c>
      <c r="F82">
        <f>ГАЗПРОМ_1[[#This Row],[Газпром-цена]]^2</f>
        <v>53893.622500000005</v>
      </c>
      <c r="G82">
        <f>ГАЗПРОМ_1[[#This Row],[Газпром-цена]]*ГАЗПРОМ_1[[#This Row],[Газпром-объем]]</f>
        <v>166134600248</v>
      </c>
      <c r="I82" s="8">
        <v>12</v>
      </c>
      <c r="J82" s="8">
        <v>740843930.46192992</v>
      </c>
      <c r="K82" s="8">
        <v>295125349.53807008</v>
      </c>
      <c r="L82" s="8">
        <v>0.95603585046388528</v>
      </c>
      <c r="N82" s="8">
        <v>12.23404255319149</v>
      </c>
      <c r="O82" s="8">
        <v>472091480</v>
      </c>
    </row>
    <row r="83" spans="1:15" x14ac:dyDescent="0.2">
      <c r="A83" s="14">
        <v>225.9</v>
      </c>
      <c r="B83" s="15">
        <v>514923280</v>
      </c>
      <c r="C83">
        <f>k1_*ГАЗПРОМ_1[[#This Row],[Газпром-цена]]+k0</f>
        <v>975202903.00520563</v>
      </c>
      <c r="D83" s="23">
        <f>ГАЗПРОМ_1[[#This Row],[Газпром-объем]]-ГАЗПРОМ_1[[#This Row],[h=k1*x+k0]]</f>
        <v>-460279623.00520563</v>
      </c>
      <c r="E83" s="23">
        <f>ГАЗПРОМ_1[[#This Row],[y-h]]^2</f>
        <v>2.1185733135381421E+17</v>
      </c>
      <c r="F83">
        <f>ГАЗПРОМ_1[[#This Row],[Газпром-цена]]^2</f>
        <v>51030.810000000005</v>
      </c>
      <c r="G83">
        <f>ГАЗПРОМ_1[[#This Row],[Газпром-цена]]*ГАЗПРОМ_1[[#This Row],[Газпром-объем]]</f>
        <v>116321168952</v>
      </c>
      <c r="I83" s="8">
        <v>13</v>
      </c>
      <c r="J83" s="8">
        <v>730568886.23680353</v>
      </c>
      <c r="K83" s="8">
        <v>320219173.76319647</v>
      </c>
      <c r="L83" s="8">
        <v>1.037325362266277</v>
      </c>
      <c r="N83" s="8">
        <v>13.297872340425531</v>
      </c>
      <c r="O83" s="8">
        <v>472860350</v>
      </c>
    </row>
    <row r="84" spans="1:15" x14ac:dyDescent="0.2">
      <c r="A84" s="14">
        <v>260</v>
      </c>
      <c r="B84" s="15">
        <v>763625060</v>
      </c>
      <c r="C84">
        <f>k1_*ГАЗПРОМ_1[[#This Row],[Газпром-цена]]+k0</f>
        <v>662616781.16068268</v>
      </c>
      <c r="D84" s="23">
        <f>ГАЗПРОМ_1[[#This Row],[Газпром-объем]]-ГАЗПРОМ_1[[#This Row],[h=k1*x+k0]]</f>
        <v>101008278.83931732</v>
      </c>
      <c r="E84" s="23">
        <f>ГАЗПРОМ_1[[#This Row],[y-h]]^2</f>
        <v>1.020267239408128E+16</v>
      </c>
      <c r="F84">
        <f>ГАЗПРОМ_1[[#This Row],[Газпром-цена]]^2</f>
        <v>67600</v>
      </c>
      <c r="G84">
        <f>ГАЗПРОМ_1[[#This Row],[Газпром-цена]]*ГАЗПРОМ_1[[#This Row],[Газпром-объем]]</f>
        <v>198542515600</v>
      </c>
      <c r="I84" s="8">
        <v>14</v>
      </c>
      <c r="J84" s="8">
        <v>745709813.4742887</v>
      </c>
      <c r="K84" s="8">
        <v>310800876.5257113</v>
      </c>
      <c r="L84" s="8">
        <v>1.0068155134056007</v>
      </c>
      <c r="N84" s="8">
        <v>14.361702127659573</v>
      </c>
      <c r="O84" s="8">
        <v>490084870</v>
      </c>
    </row>
    <row r="85" spans="1:15" x14ac:dyDescent="0.2">
      <c r="A85" s="14">
        <v>257.54000000000002</v>
      </c>
      <c r="B85" s="15">
        <v>1496648200</v>
      </c>
      <c r="C85">
        <f>k1_*ГАЗПРОМ_1[[#This Row],[Газпром-цена]]+k0</f>
        <v>685166982.32600594</v>
      </c>
      <c r="D85" s="23">
        <f>ГАЗПРОМ_1[[#This Row],[Газпром-объем]]-ГАЗПРОМ_1[[#This Row],[h=k1*x+k0]]</f>
        <v>811481217.67399406</v>
      </c>
      <c r="E85" s="23">
        <f>ГАЗПРОМ_1[[#This Row],[y-h]]^2</f>
        <v>6.585017666376681E+17</v>
      </c>
      <c r="F85">
        <f>ГАЗПРОМ_1[[#This Row],[Газпром-цена]]^2</f>
        <v>66326.851600000009</v>
      </c>
      <c r="G85">
        <f>ГАЗПРОМ_1[[#This Row],[Газпром-цена]]*ГАЗПРОМ_1[[#This Row],[Газпром-объем]]</f>
        <v>385446777428.00006</v>
      </c>
      <c r="I85" s="8">
        <v>15</v>
      </c>
      <c r="J85" s="8">
        <v>731631821.84629941</v>
      </c>
      <c r="K85" s="8">
        <v>378555108.15370059</v>
      </c>
      <c r="L85" s="8">
        <v>1.2263001309024655</v>
      </c>
      <c r="N85" s="8">
        <v>15.425531914893616</v>
      </c>
      <c r="O85" s="8">
        <v>495283520</v>
      </c>
    </row>
    <row r="86" spans="1:15" x14ac:dyDescent="0.2">
      <c r="A86" s="14">
        <v>256.39999999999998</v>
      </c>
      <c r="B86" s="15">
        <v>850735710</v>
      </c>
      <c r="C86">
        <f>k1_*ГАЗПРОМ_1[[#This Row],[Газпром-цена]]+k0</f>
        <v>695617075.54896069</v>
      </c>
      <c r="D86" s="23">
        <f>ГАЗПРОМ_1[[#This Row],[Газпром-объем]]-ГАЗПРОМ_1[[#This Row],[h=k1*x+k0]]</f>
        <v>155118634.45103931</v>
      </c>
      <c r="E86" s="23">
        <f>ГАЗПРОМ_1[[#This Row],[y-h]]^2</f>
        <v>2.406179075395516E+16</v>
      </c>
      <c r="F86">
        <f>ГАЗПРОМ_1[[#This Row],[Газпром-цена]]^2</f>
        <v>65740.959999999992</v>
      </c>
      <c r="G86">
        <f>ГАЗПРОМ_1[[#This Row],[Газпром-цена]]*ГАЗПРОМ_1[[#This Row],[Газпром-объем]]</f>
        <v>218128636043.99997</v>
      </c>
      <c r="I86" s="8">
        <v>16</v>
      </c>
      <c r="J86" s="8">
        <v>722892129.05711138</v>
      </c>
      <c r="K86" s="8">
        <v>1315422310.9428887</v>
      </c>
      <c r="L86" s="8">
        <v>4.2612093123475638</v>
      </c>
      <c r="N86" s="8">
        <v>16.48936170212766</v>
      </c>
      <c r="O86" s="8">
        <v>505531930</v>
      </c>
    </row>
    <row r="87" spans="1:15" x14ac:dyDescent="0.2">
      <c r="A87" s="14">
        <v>226.7</v>
      </c>
      <c r="B87" s="15">
        <v>943229040</v>
      </c>
      <c r="C87">
        <f>k1_*ГАЗПРОМ_1[[#This Row],[Газпром-цена]]+k0</f>
        <v>967869504.25225496</v>
      </c>
      <c r="D87" s="23">
        <f>ГАЗПРОМ_1[[#This Row],[Газпром-объем]]-ГАЗПРОМ_1[[#This Row],[h=k1*x+k0]]</f>
        <v>-24640464.252254963</v>
      </c>
      <c r="E87" s="23">
        <f>ГАЗПРОМ_1[[#This Row],[y-h]]^2</f>
        <v>607152478566654.75</v>
      </c>
      <c r="F87">
        <f>ГАЗПРОМ_1[[#This Row],[Газпром-цена]]^2</f>
        <v>51392.889999999992</v>
      </c>
      <c r="G87">
        <f>ГАЗПРОМ_1[[#This Row],[Газпром-цена]]*ГАЗПРОМ_1[[#This Row],[Газпром-объем]]</f>
        <v>213830023368</v>
      </c>
      <c r="I87" s="8">
        <v>17</v>
      </c>
      <c r="J87" s="8">
        <v>706995336.49731803</v>
      </c>
      <c r="K87" s="8">
        <v>670703063.50268197</v>
      </c>
      <c r="L87" s="8">
        <v>2.1726909420968101</v>
      </c>
      <c r="N87" s="8">
        <v>17.553191489361701</v>
      </c>
      <c r="O87" s="8">
        <v>508472070</v>
      </c>
    </row>
    <row r="88" spans="1:15" x14ac:dyDescent="0.2">
      <c r="A88" s="14">
        <v>202.65</v>
      </c>
      <c r="B88" s="15">
        <v>1068549530</v>
      </c>
      <c r="C88">
        <f>k1_*ГАЗПРОМ_1[[#This Row],[Газпром-цена]]+k0</f>
        <v>1188329804.2628348</v>
      </c>
      <c r="D88" s="23">
        <f>ГАЗПРОМ_1[[#This Row],[Газпром-объем]]-ГАЗПРОМ_1[[#This Row],[h=k1*x+k0]]</f>
        <v>-119780274.26283479</v>
      </c>
      <c r="E88" s="23">
        <f>ГАЗПРОМ_1[[#This Row],[y-h]]^2</f>
        <v>1.4347314102479922E+16</v>
      </c>
      <c r="F88">
        <f>ГАЗПРОМ_1[[#This Row],[Газпром-цена]]^2</f>
        <v>41067.022499999999</v>
      </c>
      <c r="G88">
        <f>ГАЗПРОМ_1[[#This Row],[Газпром-цена]]*ГАЗПРОМ_1[[#This Row],[Газпром-объем]]</f>
        <v>216541562254.5</v>
      </c>
      <c r="I88" s="8">
        <v>18</v>
      </c>
      <c r="J88" s="8">
        <v>737537019.67683172</v>
      </c>
      <c r="K88" s="8">
        <v>430733390.32316828</v>
      </c>
      <c r="L88" s="8">
        <v>1.3953276591975119</v>
      </c>
      <c r="N88" s="8">
        <v>18.617021276595743</v>
      </c>
      <c r="O88" s="8">
        <v>511657140</v>
      </c>
    </row>
    <row r="89" spans="1:15" x14ac:dyDescent="0.2">
      <c r="A89" s="14">
        <v>181.41</v>
      </c>
      <c r="B89" s="15">
        <v>2274256090</v>
      </c>
      <c r="C89">
        <f>k1_*ГАЗПРОМ_1[[#This Row],[Газпром-цена]]+k0</f>
        <v>1383031541.1536756</v>
      </c>
      <c r="D89" s="23">
        <f>ГАЗПРОМ_1[[#This Row],[Газпром-объем]]-ГАЗПРОМ_1[[#This Row],[h=k1*x+k0]]</f>
        <v>891224548.84632444</v>
      </c>
      <c r="E89" s="23">
        <f>ГАЗПРОМ_1[[#This Row],[y-h]]^2</f>
        <v>7.9428119646633459E+17</v>
      </c>
      <c r="F89">
        <f>ГАЗПРОМ_1[[#This Row],[Газпром-цена]]^2</f>
        <v>32909.588100000001</v>
      </c>
      <c r="G89">
        <f>ГАЗПРОМ_1[[#This Row],[Газпром-цена]]*ГАЗПРОМ_1[[#This Row],[Газпром-объем]]</f>
        <v>412572797286.89996</v>
      </c>
      <c r="I89" s="8">
        <v>19</v>
      </c>
      <c r="J89" s="8">
        <v>754685714.17669797</v>
      </c>
      <c r="K89" s="8">
        <v>131227755.82330203</v>
      </c>
      <c r="L89" s="8">
        <v>0.42510221280335647</v>
      </c>
      <c r="N89" s="8">
        <v>19.680851063829785</v>
      </c>
      <c r="O89" s="8">
        <v>514923280</v>
      </c>
    </row>
    <row r="90" spans="1:15" x14ac:dyDescent="0.2">
      <c r="A90" s="14">
        <v>190</v>
      </c>
      <c r="B90" s="15">
        <v>1151699700</v>
      </c>
      <c r="C90">
        <f>k1_*ГАЗПРОМ_1[[#This Row],[Газпром-цена]]+k0</f>
        <v>1304289172.0438676</v>
      </c>
      <c r="D90" s="23">
        <f>ГАЗПРОМ_1[[#This Row],[Газпром-объем]]-ГАЗПРОМ_1[[#This Row],[h=k1*x+k0]]</f>
        <v>-152589472.04386759</v>
      </c>
      <c r="E90" s="23">
        <f>ГАЗПРОМ_1[[#This Row],[y-h]]^2</f>
        <v>2.3283546978626248E+16</v>
      </c>
      <c r="F90">
        <f>ГАЗПРОМ_1[[#This Row],[Газпром-цена]]^2</f>
        <v>36100</v>
      </c>
      <c r="G90">
        <f>ГАЗПРОМ_1[[#This Row],[Газпром-цена]]*ГАЗПРОМ_1[[#This Row],[Газпром-объем]]</f>
        <v>218822943000</v>
      </c>
      <c r="I90" s="8">
        <v>20</v>
      </c>
      <c r="J90" s="8">
        <v>714624852.09436595</v>
      </c>
      <c r="K90" s="8">
        <v>290335127.90563405</v>
      </c>
      <c r="L90" s="8">
        <v>0.94051829624685679</v>
      </c>
      <c r="N90" s="8">
        <v>20.74468085106383</v>
      </c>
      <c r="O90" s="8">
        <v>533051950</v>
      </c>
    </row>
    <row r="91" spans="1:15" x14ac:dyDescent="0.2">
      <c r="A91" s="14">
        <v>199.95</v>
      </c>
      <c r="B91" s="15">
        <v>1119152560</v>
      </c>
      <c r="C91">
        <f>k1_*ГАЗПРОМ_1[[#This Row],[Газпром-цена]]+k0</f>
        <v>1213080025.0540435</v>
      </c>
      <c r="D91" s="23">
        <f>ГАЗПРОМ_1[[#This Row],[Газпром-объем]]-ГАЗПРОМ_1[[#This Row],[h=k1*x+k0]]</f>
        <v>-93927465.054043531</v>
      </c>
      <c r="E91" s="23">
        <f>ГАЗПРОМ_1[[#This Row],[y-h]]^2</f>
        <v>8822368691478569</v>
      </c>
      <c r="F91">
        <f>ГАЗПРОМ_1[[#This Row],[Газпром-цена]]^2</f>
        <v>39980.002499999995</v>
      </c>
      <c r="G91">
        <f>ГАЗПРОМ_1[[#This Row],[Газпром-цена]]*ГАЗПРОМ_1[[#This Row],[Газпром-объем]]</f>
        <v>223774554372</v>
      </c>
      <c r="I91" s="8">
        <v>21</v>
      </c>
      <c r="J91" s="8">
        <v>714506748.13775527</v>
      </c>
      <c r="K91" s="8">
        <v>136788051.86224473</v>
      </c>
      <c r="L91" s="8">
        <v>0.44311436377833002</v>
      </c>
      <c r="N91" s="8">
        <v>21.808510638297872</v>
      </c>
      <c r="O91" s="8">
        <v>538549300</v>
      </c>
    </row>
    <row r="92" spans="1:15" x14ac:dyDescent="0.2">
      <c r="A92" s="14">
        <v>194.31</v>
      </c>
      <c r="B92" s="15">
        <v>949645980</v>
      </c>
      <c r="C92">
        <f>k1_*ГАЗПРОМ_1[[#This Row],[Газпром-цена]]+k0</f>
        <v>1264780486.2623458</v>
      </c>
      <c r="D92" s="23">
        <f>ГАЗПРОМ_1[[#This Row],[Газпром-объем]]-ГАЗПРОМ_1[[#This Row],[h=k1*x+k0]]</f>
        <v>-315134506.26234579</v>
      </c>
      <c r="E92" s="23">
        <f>ГАЗПРОМ_1[[#This Row],[y-h]]^2</f>
        <v>9.9309757037212464E+16</v>
      </c>
      <c r="F92">
        <f>ГАЗПРОМ_1[[#This Row],[Газпром-цена]]^2</f>
        <v>37756.376100000001</v>
      </c>
      <c r="G92">
        <f>ГАЗПРОМ_1[[#This Row],[Газпром-цена]]*ГАЗПРОМ_1[[#This Row],[Газпром-объем]]</f>
        <v>184525710373.79999</v>
      </c>
      <c r="I92" s="8">
        <v>22</v>
      </c>
      <c r="J92" s="8">
        <v>728561118.97442245</v>
      </c>
      <c r="K92" s="8">
        <v>69335731.025577545</v>
      </c>
      <c r="L92" s="8">
        <v>0.2246077630482311</v>
      </c>
      <c r="N92" s="8">
        <v>22.872340425531913</v>
      </c>
      <c r="O92" s="8">
        <v>543868920</v>
      </c>
    </row>
    <row r="93" spans="1:15" x14ac:dyDescent="0.2">
      <c r="A93" s="14">
        <v>182.59</v>
      </c>
      <c r="B93" s="15">
        <v>841671960</v>
      </c>
      <c r="C93">
        <f>k1_*ГАЗПРОМ_1[[#This Row],[Газпром-цена]]+k0</f>
        <v>1372214777.9930732</v>
      </c>
      <c r="D93" s="23">
        <f>ГАЗПРОМ_1[[#This Row],[Газпром-объем]]-ГАЗПРОМ_1[[#This Row],[h=k1*x+k0]]</f>
        <v>-530542817.99307323</v>
      </c>
      <c r="E93" s="23">
        <f>ГАЗПРОМ_1[[#This Row],[y-h]]^2</f>
        <v>2.8147568172403123E+17</v>
      </c>
      <c r="F93">
        <f>ГАЗПРОМ_1[[#This Row],[Газпром-цена]]^2</f>
        <v>33339.108099999998</v>
      </c>
      <c r="G93">
        <f>ГАЗПРОМ_1[[#This Row],[Газпром-цена]]*ГАЗПРОМ_1[[#This Row],[Газпром-объем]]</f>
        <v>153680883176.39999</v>
      </c>
      <c r="I93" s="8">
        <v>23</v>
      </c>
      <c r="J93" s="8">
        <v>737064603.85038924</v>
      </c>
      <c r="K93" s="8">
        <v>120869196.14961076</v>
      </c>
      <c r="L93" s="8">
        <v>0.39154645616395306</v>
      </c>
      <c r="N93" s="8">
        <v>23.936170212765958</v>
      </c>
      <c r="O93" s="8">
        <v>550336390</v>
      </c>
    </row>
    <row r="94" spans="1:15" x14ac:dyDescent="0.2">
      <c r="A94" s="14">
        <v>181.01</v>
      </c>
      <c r="B94" s="15">
        <v>763622270</v>
      </c>
      <c r="C94">
        <f>k1_*ГАЗПРОМ_1[[#This Row],[Газпром-цена]]+k0</f>
        <v>1386698240.5301511</v>
      </c>
      <c r="D94" s="23">
        <f>ГАЗПРОМ_1[[#This Row],[Газпром-объем]]-ГАЗПРОМ_1[[#This Row],[h=k1*x+k0]]</f>
        <v>-623075970.53015113</v>
      </c>
      <c r="E94" s="23">
        <f>ГАЗПРОМ_1[[#This Row],[y-h]]^2</f>
        <v>3.8822366505208973E+17</v>
      </c>
      <c r="F94">
        <f>ГАЗПРОМ_1[[#This Row],[Газпром-цена]]^2</f>
        <v>32764.620099999996</v>
      </c>
      <c r="G94">
        <f>ГАЗПРОМ_1[[#This Row],[Газпром-цена]]*ГАЗПРОМ_1[[#This Row],[Газпром-объем]]</f>
        <v>138223267092.69998</v>
      </c>
      <c r="I94" s="8">
        <v>24</v>
      </c>
      <c r="J94" s="8">
        <v>740277031.47019887</v>
      </c>
      <c r="K94" s="8">
        <v>-48287771.47019887</v>
      </c>
      <c r="L94" s="8">
        <v>-0.15642451838438981</v>
      </c>
      <c r="N94" s="8">
        <v>25</v>
      </c>
      <c r="O94" s="8">
        <v>553952660</v>
      </c>
    </row>
    <row r="95" spans="1:15" x14ac:dyDescent="0.2">
      <c r="A95" s="16">
        <v>181.95</v>
      </c>
      <c r="B95" s="17">
        <v>98371280</v>
      </c>
      <c r="C95">
        <f>k1_*ГАЗПРОМ_1[[#This Row],[Газпром-цена]]+k0</f>
        <v>1378081496.995434</v>
      </c>
      <c r="D95" s="23">
        <f>ГАЗПРОМ_1[[#This Row],[Газпром-объем]]-ГАЗПРОМ_1[[#This Row],[h=k1*x+k0]]</f>
        <v>-1279710216.995434</v>
      </c>
      <c r="E95" s="23">
        <f>ГАЗПРОМ_1[[#This Row],[y-h]]^2</f>
        <v>1.6376582394825009E+18</v>
      </c>
      <c r="F95">
        <f>ГАЗПРОМ_1[[#This Row],[Газпром-цена]]^2</f>
        <v>33105.802499999998</v>
      </c>
      <c r="G95">
        <f>ГАЗПРОМ_1[[#This Row],[Газпром-цена]]*ГАЗПРОМ_1[[#This Row],[Газпром-объем]]</f>
        <v>17898654396</v>
      </c>
      <c r="I95" s="8">
        <v>25</v>
      </c>
      <c r="J95" s="8">
        <v>710632938.36092603</v>
      </c>
      <c r="K95" s="8">
        <v>273223571.63907397</v>
      </c>
      <c r="L95" s="8">
        <v>0.88508672700461144</v>
      </c>
      <c r="N95" s="8">
        <v>26.063829787234042</v>
      </c>
      <c r="O95" s="8">
        <v>554088010</v>
      </c>
    </row>
    <row r="96" spans="1:15" x14ac:dyDescent="0.2">
      <c r="A96" s="22">
        <f>SUBTOTAL(109,ГАЗПРОМ_1[Газпром-цена])</f>
        <v>14456.510000000006</v>
      </c>
      <c r="B96" s="22">
        <f>SUBTOTAL(109,ГАЗПРОМ_1[Газпром-объем])</f>
        <v>72013478820</v>
      </c>
      <c r="C96">
        <f>SUBTOTAL(109,ГАЗПРОМ_1[h=k1*x+k0])</f>
        <v>153802118824.22382</v>
      </c>
      <c r="D96">
        <f>SUBTOTAL(109,ГАЗПРОМ_1[y-h])</f>
        <v>-81788640004.22374</v>
      </c>
      <c r="E96">
        <f>SUBTOTAL(109,ГАЗПРОМ_1[(y-h)^2])</f>
        <v>9.345394965462152E+19</v>
      </c>
      <c r="F96">
        <f>SUM(F2:F95)</f>
        <v>2324332.8903000001</v>
      </c>
      <c r="G96">
        <f>SUM(G2:G95)</f>
        <v>11313780018421.703</v>
      </c>
      <c r="I96" s="8">
        <v>26</v>
      </c>
      <c r="J96" s="8">
        <v>742544627.4371233</v>
      </c>
      <c r="K96" s="8">
        <v>-90441797.437123299</v>
      </c>
      <c r="L96" s="8">
        <v>-0.29297924039943873</v>
      </c>
      <c r="N96" s="8">
        <v>27.127659574468083</v>
      </c>
      <c r="O96" s="8">
        <v>567536440</v>
      </c>
    </row>
    <row r="97" spans="9:15" x14ac:dyDescent="0.2">
      <c r="I97" s="8">
        <v>27</v>
      </c>
      <c r="J97" s="8">
        <v>764110409.91422772</v>
      </c>
      <c r="K97" s="8">
        <v>155409940.08577228</v>
      </c>
      <c r="L97" s="8">
        <v>0.50343853712666864</v>
      </c>
      <c r="N97" s="8">
        <v>28.191489361702125</v>
      </c>
      <c r="O97" s="8">
        <v>572372360</v>
      </c>
    </row>
    <row r="98" spans="9:15" x14ac:dyDescent="0.2">
      <c r="I98" s="8">
        <v>28</v>
      </c>
      <c r="J98" s="8">
        <v>730923198.10663557</v>
      </c>
      <c r="K98" s="8">
        <v>-12853908.106635571</v>
      </c>
      <c r="L98" s="8">
        <v>-4.1639245790801707E-2</v>
      </c>
      <c r="N98" s="8">
        <v>29.25531914893617</v>
      </c>
      <c r="O98" s="8">
        <v>576420680</v>
      </c>
    </row>
    <row r="99" spans="9:15" x14ac:dyDescent="0.2">
      <c r="I99" s="8">
        <v>29</v>
      </c>
      <c r="J99" s="8">
        <v>765409553.43694484</v>
      </c>
      <c r="K99" s="8">
        <v>56113906.563055158</v>
      </c>
      <c r="L99" s="8">
        <v>0.18177668054550217</v>
      </c>
      <c r="N99" s="8">
        <v>30.319148936170212</v>
      </c>
      <c r="O99" s="8">
        <v>614480400</v>
      </c>
    </row>
    <row r="100" spans="9:15" x14ac:dyDescent="0.2">
      <c r="I100" s="8">
        <v>30</v>
      </c>
      <c r="J100" s="8">
        <v>731159406.01985669</v>
      </c>
      <c r="K100" s="8">
        <v>-259067926.01985669</v>
      </c>
      <c r="L100" s="8">
        <v>-0.83923060275226891</v>
      </c>
      <c r="N100" s="8">
        <v>31.382978723404253</v>
      </c>
      <c r="O100" s="8">
        <v>615131840</v>
      </c>
    </row>
    <row r="101" spans="9:15" x14ac:dyDescent="0.2">
      <c r="I101" s="8">
        <v>31</v>
      </c>
      <c r="J101" s="8">
        <v>747339648.07551563</v>
      </c>
      <c r="K101" s="8">
        <v>-214287698.07551563</v>
      </c>
      <c r="L101" s="8">
        <v>-0.69416850160188226</v>
      </c>
      <c r="N101" s="8">
        <v>32.446808510638299</v>
      </c>
      <c r="O101" s="8">
        <v>618092220</v>
      </c>
    </row>
    <row r="102" spans="9:15" x14ac:dyDescent="0.2">
      <c r="I102" s="8">
        <v>32</v>
      </c>
      <c r="J102" s="8">
        <v>739426682.98260212</v>
      </c>
      <c r="K102" s="8">
        <v>-195557762.98260212</v>
      </c>
      <c r="L102" s="8">
        <v>-0.63349431873784101</v>
      </c>
      <c r="N102" s="8">
        <v>33.51063829787234</v>
      </c>
      <c r="O102" s="8">
        <v>632658380</v>
      </c>
    </row>
    <row r="103" spans="9:15" x14ac:dyDescent="0.2">
      <c r="I103" s="8">
        <v>33</v>
      </c>
      <c r="J103" s="8">
        <v>752866913.24489403</v>
      </c>
      <c r="K103" s="8">
        <v>-98635003.244894028</v>
      </c>
      <c r="L103" s="8">
        <v>-0.3195204998836475</v>
      </c>
      <c r="N103" s="8">
        <v>34.574468085106382</v>
      </c>
      <c r="O103" s="8">
        <v>635494510</v>
      </c>
    </row>
    <row r="104" spans="9:15" x14ac:dyDescent="0.2">
      <c r="I104" s="8">
        <v>34</v>
      </c>
      <c r="J104" s="8">
        <v>720648153.88150907</v>
      </c>
      <c r="K104" s="8">
        <v>-74390253.881509066</v>
      </c>
      <c r="L104" s="8">
        <v>-0.240981500732314</v>
      </c>
      <c r="N104" s="8">
        <v>35.638297872340424</v>
      </c>
      <c r="O104" s="8">
        <v>638968460</v>
      </c>
    </row>
    <row r="105" spans="9:15" x14ac:dyDescent="0.2">
      <c r="I105" s="8">
        <v>35</v>
      </c>
      <c r="J105" s="8">
        <v>723482648.84016466</v>
      </c>
      <c r="K105" s="8">
        <v>3905501.1598353386</v>
      </c>
      <c r="L105" s="8">
        <v>1.2651570353665001E-2</v>
      </c>
      <c r="N105" s="8">
        <v>36.702127659574465</v>
      </c>
      <c r="O105" s="8">
        <v>642613120</v>
      </c>
    </row>
    <row r="106" spans="9:15" x14ac:dyDescent="0.2">
      <c r="I106" s="8">
        <v>36</v>
      </c>
      <c r="J106" s="8">
        <v>728797326.88764381</v>
      </c>
      <c r="K106" s="8">
        <v>56376523.112356186</v>
      </c>
      <c r="L106" s="8">
        <v>0.18262740664019336</v>
      </c>
      <c r="N106" s="8">
        <v>37.765957446808507</v>
      </c>
      <c r="O106" s="8">
        <v>646257900</v>
      </c>
    </row>
    <row r="107" spans="9:15" x14ac:dyDescent="0.2">
      <c r="I107" s="8">
        <v>37</v>
      </c>
      <c r="J107" s="8">
        <v>724285755.74511695</v>
      </c>
      <c r="K107" s="8">
        <v>-91627375.745116949</v>
      </c>
      <c r="L107" s="8">
        <v>-0.29681983005989426</v>
      </c>
      <c r="N107" s="8">
        <v>38.829787234042549</v>
      </c>
      <c r="O107" s="8">
        <v>652102830</v>
      </c>
    </row>
    <row r="108" spans="9:15" x14ac:dyDescent="0.2">
      <c r="I108" s="8">
        <v>38</v>
      </c>
      <c r="J108" s="8">
        <v>725490416.10254562</v>
      </c>
      <c r="K108" s="8">
        <v>-111010016.10254562</v>
      </c>
      <c r="L108" s="8">
        <v>-0.35960840138172029</v>
      </c>
      <c r="N108" s="8">
        <v>39.893617021276597</v>
      </c>
      <c r="O108" s="8">
        <v>654231910</v>
      </c>
    </row>
    <row r="109" spans="9:15" x14ac:dyDescent="0.2">
      <c r="I109" s="8">
        <v>39</v>
      </c>
      <c r="J109" s="8">
        <v>736828395.93716788</v>
      </c>
      <c r="K109" s="8">
        <v>-94215275.937167883</v>
      </c>
      <c r="L109" s="8">
        <v>-0.30520313351009115</v>
      </c>
      <c r="N109" s="8">
        <v>40.957446808510639</v>
      </c>
      <c r="O109" s="8">
        <v>654967610</v>
      </c>
    </row>
    <row r="110" spans="9:15" x14ac:dyDescent="0.2">
      <c r="I110" s="8">
        <v>40</v>
      </c>
      <c r="J110" s="8">
        <v>751827598.42672026</v>
      </c>
      <c r="K110" s="8">
        <v>-20206818.426720262</v>
      </c>
      <c r="L110" s="8">
        <v>-6.5458432730350083E-2</v>
      </c>
      <c r="N110" s="8">
        <v>42.021276595744681</v>
      </c>
      <c r="O110" s="8">
        <v>662677050</v>
      </c>
    </row>
    <row r="111" spans="9:15" x14ac:dyDescent="0.2">
      <c r="I111" s="8">
        <v>41</v>
      </c>
      <c r="J111" s="8">
        <v>800769878.0461731</v>
      </c>
      <c r="K111" s="8">
        <v>140836661.9538269</v>
      </c>
      <c r="L111" s="8">
        <v>0.45622952449956494</v>
      </c>
      <c r="N111" s="8">
        <v>43.085106382978722</v>
      </c>
      <c r="O111" s="8">
        <v>670673200</v>
      </c>
    </row>
    <row r="112" spans="9:15" x14ac:dyDescent="0.2">
      <c r="I112" s="8">
        <v>42</v>
      </c>
      <c r="J112" s="8">
        <v>746512920.37924111</v>
      </c>
      <c r="K112" s="8">
        <v>-83835870.379241109</v>
      </c>
      <c r="L112" s="8">
        <v>-0.27157984823346648</v>
      </c>
      <c r="N112" s="8">
        <v>44.148936170212764</v>
      </c>
      <c r="O112" s="8">
        <v>675058310</v>
      </c>
    </row>
    <row r="113" spans="9:15" x14ac:dyDescent="0.2">
      <c r="I113" s="8">
        <v>43</v>
      </c>
      <c r="J113" s="8">
        <v>732364066.37728536</v>
      </c>
      <c r="K113" s="8">
        <v>-193814766.37728536</v>
      </c>
      <c r="L113" s="8">
        <v>-0.62784801541442992</v>
      </c>
      <c r="N113" s="8">
        <v>45.212765957446805</v>
      </c>
      <c r="O113" s="8">
        <v>680484920</v>
      </c>
    </row>
    <row r="114" spans="9:15" x14ac:dyDescent="0.2">
      <c r="I114" s="8">
        <v>44</v>
      </c>
      <c r="J114" s="8">
        <v>727143871.49509478</v>
      </c>
      <c r="K114" s="8">
        <v>-221611941.49509478</v>
      </c>
      <c r="L114" s="8">
        <v>-0.71789482432408069</v>
      </c>
      <c r="N114" s="8">
        <v>46.276595744680847</v>
      </c>
      <c r="O114" s="8">
        <v>682977210</v>
      </c>
    </row>
    <row r="115" spans="9:15" x14ac:dyDescent="0.2">
      <c r="I115" s="8">
        <v>45</v>
      </c>
      <c r="J115" s="8">
        <v>721592985.53439426</v>
      </c>
      <c r="K115" s="8">
        <v>-248732635.53439426</v>
      </c>
      <c r="L115" s="8">
        <v>-0.80575022485682224</v>
      </c>
      <c r="N115" s="8">
        <v>47.340425531914896</v>
      </c>
      <c r="O115" s="8">
        <v>683155600</v>
      </c>
    </row>
    <row r="116" spans="9:15" x14ac:dyDescent="0.2">
      <c r="I116" s="8">
        <v>46</v>
      </c>
      <c r="J116" s="8">
        <v>721474881.57778358</v>
      </c>
      <c r="K116" s="8">
        <v>-153938441.57778358</v>
      </c>
      <c r="L116" s="8">
        <v>-0.49867173098906226</v>
      </c>
      <c r="N116" s="8">
        <v>48.404255319148938</v>
      </c>
      <c r="O116" s="8">
        <v>691989260</v>
      </c>
    </row>
    <row r="117" spans="9:15" x14ac:dyDescent="0.2">
      <c r="I117" s="8">
        <v>47</v>
      </c>
      <c r="J117" s="8">
        <v>730781473.35870266</v>
      </c>
      <c r="K117" s="8">
        <v>-321439993.35870266</v>
      </c>
      <c r="L117" s="8">
        <v>-1.0412801133646816</v>
      </c>
      <c r="N117" s="8">
        <v>49.468085106382979</v>
      </c>
      <c r="O117" s="8">
        <v>708218240</v>
      </c>
    </row>
    <row r="118" spans="9:15" x14ac:dyDescent="0.2">
      <c r="I118" s="8">
        <v>48</v>
      </c>
      <c r="J118" s="8">
        <v>754307781.51554394</v>
      </c>
      <c r="K118" s="8">
        <v>-18987071.515543938</v>
      </c>
      <c r="L118" s="8">
        <v>-6.1507156510254561E-2</v>
      </c>
      <c r="N118" s="8">
        <v>50.531914893617021</v>
      </c>
      <c r="O118" s="8">
        <v>715634720</v>
      </c>
    </row>
    <row r="119" spans="9:15" x14ac:dyDescent="0.2">
      <c r="I119" s="8">
        <v>49</v>
      </c>
      <c r="J119" s="8">
        <v>767889736.52576852</v>
      </c>
      <c r="K119" s="8">
        <v>-87404816.525768518</v>
      </c>
      <c r="L119" s="8">
        <v>-0.28314117453022702</v>
      </c>
      <c r="N119" s="8">
        <v>51.595744680851062</v>
      </c>
      <c r="O119" s="8">
        <v>718069290</v>
      </c>
    </row>
    <row r="120" spans="9:15" x14ac:dyDescent="0.2">
      <c r="I120" s="8">
        <v>50</v>
      </c>
      <c r="J120" s="8">
        <v>756669860.64775681</v>
      </c>
      <c r="K120" s="8">
        <v>-248197790.64775681</v>
      </c>
      <c r="L120" s="8">
        <v>-0.80401763602003462</v>
      </c>
      <c r="N120" s="8">
        <v>52.659574468085104</v>
      </c>
      <c r="O120" s="8">
        <v>727388150</v>
      </c>
    </row>
    <row r="121" spans="9:15" x14ac:dyDescent="0.2">
      <c r="I121" s="8">
        <v>51</v>
      </c>
      <c r="J121" s="8">
        <v>719349010.35879183</v>
      </c>
      <c r="K121" s="8">
        <v>-101256790.35879183</v>
      </c>
      <c r="L121" s="8">
        <v>-0.32801357740848142</v>
      </c>
      <c r="N121" s="8">
        <v>53.723404255319146</v>
      </c>
      <c r="O121" s="8">
        <v>731620780</v>
      </c>
    </row>
    <row r="122" spans="9:15" x14ac:dyDescent="0.2">
      <c r="I122" s="8">
        <v>52</v>
      </c>
      <c r="J122" s="8">
        <v>704940327.65229273</v>
      </c>
      <c r="K122" s="8">
        <v>49469962.347707272</v>
      </c>
      <c r="L122" s="8">
        <v>0.16025413472455988</v>
      </c>
      <c r="N122" s="8">
        <v>54.787234042553187</v>
      </c>
      <c r="O122" s="8">
        <v>733770920</v>
      </c>
    </row>
    <row r="123" spans="9:15" x14ac:dyDescent="0.2">
      <c r="I123" s="8">
        <v>53</v>
      </c>
      <c r="J123" s="8">
        <v>725844727.97237754</v>
      </c>
      <c r="K123" s="8">
        <v>24337672.027622461</v>
      </c>
      <c r="L123" s="8">
        <v>7.8840014968750441E-2</v>
      </c>
      <c r="N123" s="8">
        <v>55.851063829787229</v>
      </c>
      <c r="O123" s="8">
        <v>735320710</v>
      </c>
    </row>
    <row r="124" spans="9:15" x14ac:dyDescent="0.2">
      <c r="I124" s="8">
        <v>54</v>
      </c>
      <c r="J124" s="8">
        <v>686941284.66482997</v>
      </c>
      <c r="K124" s="8">
        <v>-3785684.6648299694</v>
      </c>
      <c r="L124" s="8">
        <v>-1.2263434041818689E-2</v>
      </c>
      <c r="N124" s="8">
        <v>56.914893617021278</v>
      </c>
      <c r="O124" s="8">
        <v>750182400</v>
      </c>
    </row>
    <row r="125" spans="9:15" x14ac:dyDescent="0.2">
      <c r="I125" s="8">
        <v>55</v>
      </c>
      <c r="J125" s="8">
        <v>682713163.01816869</v>
      </c>
      <c r="K125" s="8">
        <v>264046.98183131218</v>
      </c>
      <c r="L125" s="8">
        <v>8.5535987075538217E-4</v>
      </c>
      <c r="N125" s="8">
        <v>57.978723404255319</v>
      </c>
      <c r="O125" s="8">
        <v>754410290</v>
      </c>
    </row>
    <row r="126" spans="9:15" x14ac:dyDescent="0.2">
      <c r="I126" s="8">
        <v>56</v>
      </c>
      <c r="J126" s="8">
        <v>677067793.89217973</v>
      </c>
      <c r="K126" s="8">
        <v>-104695433.89217973</v>
      </c>
      <c r="L126" s="8">
        <v>-0.33915279842094331</v>
      </c>
      <c r="N126" s="8">
        <v>59.042553191489361</v>
      </c>
      <c r="O126" s="8">
        <v>758630450</v>
      </c>
    </row>
    <row r="127" spans="9:15" x14ac:dyDescent="0.2">
      <c r="I127" s="8">
        <v>57</v>
      </c>
      <c r="J127" s="8">
        <v>681484881.86941791</v>
      </c>
      <c r="K127" s="8">
        <v>-191400011.86941791</v>
      </c>
      <c r="L127" s="8">
        <v>-0.62002560407902962</v>
      </c>
      <c r="N127" s="8">
        <v>60.106382978723403</v>
      </c>
      <c r="O127" s="8">
        <v>763622270</v>
      </c>
    </row>
    <row r="128" spans="9:15" x14ac:dyDescent="0.2">
      <c r="I128" s="8">
        <v>58</v>
      </c>
      <c r="J128" s="8">
        <v>691476476.59867883</v>
      </c>
      <c r="K128" s="8">
        <v>-76344636.598678827</v>
      </c>
      <c r="L128" s="8">
        <v>-0.24731257309212934</v>
      </c>
      <c r="N128" s="8">
        <v>61.170212765957444</v>
      </c>
      <c r="O128" s="8">
        <v>763625060</v>
      </c>
    </row>
    <row r="129" spans="9:15" x14ac:dyDescent="0.2">
      <c r="I129" s="8">
        <v>59</v>
      </c>
      <c r="J129" s="8">
        <v>700216169.38786685</v>
      </c>
      <c r="K129" s="8">
        <v>-188559029.38786685</v>
      </c>
      <c r="L129" s="8">
        <v>-0.61082246003479945</v>
      </c>
      <c r="N129" s="8">
        <v>62.234042553191486</v>
      </c>
      <c r="O129" s="8">
        <v>769293390</v>
      </c>
    </row>
    <row r="130" spans="9:15" x14ac:dyDescent="0.2">
      <c r="I130" s="8">
        <v>60</v>
      </c>
      <c r="J130" s="8">
        <v>714979163.96419787</v>
      </c>
      <c r="K130" s="8">
        <v>-44305963.964197874</v>
      </c>
      <c r="L130" s="8">
        <v>-0.14352575949654278</v>
      </c>
      <c r="N130" s="8">
        <v>63.297872340425528</v>
      </c>
      <c r="O130" s="8">
        <v>785173850</v>
      </c>
    </row>
    <row r="131" spans="9:15" x14ac:dyDescent="0.2">
      <c r="I131" s="8">
        <v>61</v>
      </c>
      <c r="J131" s="8">
        <v>711081733.39604652</v>
      </c>
      <c r="K131" s="8">
        <v>-293770043.39604652</v>
      </c>
      <c r="L131" s="8">
        <v>-0.95164544055109235</v>
      </c>
      <c r="N131" s="8">
        <v>64.361702127659584</v>
      </c>
      <c r="O131" s="8">
        <v>797896850</v>
      </c>
    </row>
    <row r="132" spans="9:15" x14ac:dyDescent="0.2">
      <c r="I132" s="8">
        <v>62</v>
      </c>
      <c r="J132" s="8">
        <v>741458071.03630543</v>
      </c>
      <c r="K132" s="8">
        <v>17172378.963694572</v>
      </c>
      <c r="L132" s="8">
        <v>5.5628599687354501E-2</v>
      </c>
      <c r="N132" s="8">
        <v>65.425531914893625</v>
      </c>
      <c r="O132" s="8">
        <v>813775000</v>
      </c>
    </row>
    <row r="133" spans="9:15" x14ac:dyDescent="0.2">
      <c r="I133" s="8">
        <v>63</v>
      </c>
      <c r="J133" s="8">
        <v>740985655.20986271</v>
      </c>
      <c r="K133" s="8">
        <v>-65927345.209862709</v>
      </c>
      <c r="L133" s="8">
        <v>-0.21356655958286888</v>
      </c>
      <c r="N133" s="8">
        <v>66.489361702127667</v>
      </c>
      <c r="O133" s="8">
        <v>821523460</v>
      </c>
    </row>
    <row r="134" spans="9:15" x14ac:dyDescent="0.2">
      <c r="I134" s="8">
        <v>64</v>
      </c>
      <c r="J134" s="8">
        <v>739025129.53012598</v>
      </c>
      <c r="K134" s="8">
        <v>-188688739.53012598</v>
      </c>
      <c r="L134" s="8">
        <v>-0.61124264605529066</v>
      </c>
      <c r="N134" s="8">
        <v>67.553191489361708</v>
      </c>
      <c r="O134" s="8">
        <v>841671960</v>
      </c>
    </row>
    <row r="135" spans="9:15" x14ac:dyDescent="0.2">
      <c r="I135" s="8">
        <v>65</v>
      </c>
      <c r="J135" s="8">
        <v>747528614.40609264</v>
      </c>
      <c r="K135" s="8">
        <v>-92561004.406092644</v>
      </c>
      <c r="L135" s="8">
        <v>-0.29984424823444428</v>
      </c>
      <c r="N135" s="8">
        <v>68.61702127659575</v>
      </c>
      <c r="O135" s="8">
        <v>850735710</v>
      </c>
    </row>
    <row r="136" spans="9:15" x14ac:dyDescent="0.2">
      <c r="I136" s="8">
        <v>66</v>
      </c>
      <c r="J136" s="8">
        <v>745331880.81313467</v>
      </c>
      <c r="K136" s="8">
        <v>-287729560.81313467</v>
      </c>
      <c r="L136" s="8">
        <v>-0.93207776223269201</v>
      </c>
      <c r="N136" s="8">
        <v>69.680851063829792</v>
      </c>
      <c r="O136" s="8">
        <v>851294800</v>
      </c>
    </row>
    <row r="137" spans="9:15" x14ac:dyDescent="0.2">
      <c r="I137" s="8">
        <v>67</v>
      </c>
      <c r="J137" s="8">
        <v>735907185.0756048</v>
      </c>
      <c r="K137" s="8">
        <v>-296120355.0756048</v>
      </c>
      <c r="L137" s="8">
        <v>-0.95925909430512823</v>
      </c>
      <c r="N137" s="8">
        <v>70.744680851063833</v>
      </c>
      <c r="O137" s="8">
        <v>857933800</v>
      </c>
    </row>
    <row r="138" spans="9:15" x14ac:dyDescent="0.2">
      <c r="I138" s="8">
        <v>68</v>
      </c>
      <c r="J138" s="8">
        <v>742473765.06315684</v>
      </c>
      <c r="K138" s="8">
        <v>-339062565.06315684</v>
      </c>
      <c r="L138" s="8">
        <v>-1.0983670777789512</v>
      </c>
      <c r="N138" s="8">
        <v>71.808510638297875</v>
      </c>
      <c r="O138" s="8">
        <v>879462790</v>
      </c>
    </row>
    <row r="139" spans="9:15" x14ac:dyDescent="0.2">
      <c r="I139" s="8">
        <v>69</v>
      </c>
      <c r="J139" s="8">
        <v>757024172.51758885</v>
      </c>
      <c r="K139" s="8">
        <v>-315709542.51758885</v>
      </c>
      <c r="L139" s="8">
        <v>-1.0227167590069464</v>
      </c>
      <c r="N139" s="8">
        <v>72.872340425531917</v>
      </c>
      <c r="O139" s="8">
        <v>885913470</v>
      </c>
    </row>
    <row r="140" spans="9:15" x14ac:dyDescent="0.2">
      <c r="I140" s="8">
        <v>70</v>
      </c>
      <c r="J140" s="8">
        <v>786928094.33140504</v>
      </c>
      <c r="K140" s="8">
        <v>-232975434.33140504</v>
      </c>
      <c r="L140" s="8">
        <v>-0.75470598458193827</v>
      </c>
      <c r="N140" s="8">
        <v>73.936170212765958</v>
      </c>
      <c r="O140" s="8">
        <v>918359340</v>
      </c>
    </row>
    <row r="141" spans="9:15" x14ac:dyDescent="0.2">
      <c r="I141" s="8">
        <v>71</v>
      </c>
      <c r="J141" s="8">
        <v>770062849.32740438</v>
      </c>
      <c r="K141" s="8">
        <v>-61844609.32740438</v>
      </c>
      <c r="L141" s="8">
        <v>-0.20034085098916515</v>
      </c>
      <c r="N141" s="8">
        <v>75</v>
      </c>
      <c r="O141" s="8">
        <v>919520350</v>
      </c>
    </row>
    <row r="142" spans="9:15" x14ac:dyDescent="0.2">
      <c r="I142" s="8">
        <v>72</v>
      </c>
      <c r="J142" s="8">
        <v>783810149.87688386</v>
      </c>
      <c r="K142" s="8">
        <v>-229722139.87688386</v>
      </c>
      <c r="L142" s="8">
        <v>-0.74416718764190659</v>
      </c>
      <c r="N142" s="8">
        <v>76.063829787234042</v>
      </c>
      <c r="O142" s="8">
        <v>941606540</v>
      </c>
    </row>
    <row r="143" spans="9:15" x14ac:dyDescent="0.2">
      <c r="I143" s="8">
        <v>73</v>
      </c>
      <c r="J143" s="8">
        <v>765409553.43694484</v>
      </c>
      <c r="K143" s="8">
        <v>-329513103.43694484</v>
      </c>
      <c r="L143" s="8">
        <v>-1.0674323319783023</v>
      </c>
      <c r="N143" s="8">
        <v>77.127659574468083</v>
      </c>
      <c r="O143" s="8">
        <v>943229040</v>
      </c>
    </row>
    <row r="144" spans="9:15" x14ac:dyDescent="0.2">
      <c r="I144" s="8">
        <v>74</v>
      </c>
      <c r="J144" s="8">
        <v>787424130.94916975</v>
      </c>
      <c r="K144" s="8">
        <v>-392806260.94916975</v>
      </c>
      <c r="L144" s="8">
        <v>-1.2724656432999344</v>
      </c>
      <c r="N144" s="8">
        <v>78.191489361702139</v>
      </c>
      <c r="O144" s="8">
        <v>949645980</v>
      </c>
    </row>
    <row r="145" spans="9:15" x14ac:dyDescent="0.2">
      <c r="I145" s="8">
        <v>75</v>
      </c>
      <c r="J145" s="8">
        <v>778377367.87279415</v>
      </c>
      <c r="K145" s="8">
        <v>-383615507.87279415</v>
      </c>
      <c r="L145" s="8">
        <v>-1.2426929062323486</v>
      </c>
      <c r="N145" s="8">
        <v>79.255319148936181</v>
      </c>
      <c r="O145" s="8">
        <v>953973070</v>
      </c>
    </row>
    <row r="146" spans="9:15" x14ac:dyDescent="0.2">
      <c r="I146" s="8">
        <v>76</v>
      </c>
      <c r="J146" s="8">
        <v>756221065.61263645</v>
      </c>
      <c r="K146" s="8">
        <v>-331314255.61263645</v>
      </c>
      <c r="L146" s="8">
        <v>-1.0732670257950059</v>
      </c>
      <c r="N146" s="8">
        <v>80.319148936170222</v>
      </c>
      <c r="O146" s="8">
        <v>983856510</v>
      </c>
    </row>
    <row r="147" spans="9:15" x14ac:dyDescent="0.2">
      <c r="I147" s="8">
        <v>77</v>
      </c>
      <c r="J147" s="8">
        <v>790093280.36857033</v>
      </c>
      <c r="K147" s="8">
        <v>-213672600.36857033</v>
      </c>
      <c r="L147" s="8">
        <v>-0.69217593993173676</v>
      </c>
      <c r="N147" s="8">
        <v>81.382978723404264</v>
      </c>
      <c r="O147" s="8">
        <v>986321760</v>
      </c>
    </row>
    <row r="148" spans="9:15" x14ac:dyDescent="0.2">
      <c r="I148" s="8">
        <v>78</v>
      </c>
      <c r="J148" s="8">
        <v>910913627.98126388</v>
      </c>
      <c r="K148" s="8">
        <v>166307462.01873612</v>
      </c>
      <c r="L148" s="8">
        <v>0.53874022051454717</v>
      </c>
      <c r="N148" s="8">
        <v>82.446808510638306</v>
      </c>
      <c r="O148" s="8">
        <v>1004959980</v>
      </c>
    </row>
    <row r="149" spans="9:15" x14ac:dyDescent="0.2">
      <c r="I149" s="8">
        <v>79</v>
      </c>
      <c r="J149" s="8">
        <v>952793290.99539995</v>
      </c>
      <c r="K149" s="8">
        <v>-34433950.995399952</v>
      </c>
      <c r="L149" s="8">
        <v>-0.11154613345226169</v>
      </c>
      <c r="N149" s="8">
        <v>83.510638297872347</v>
      </c>
      <c r="O149" s="8">
        <v>1035314530</v>
      </c>
    </row>
    <row r="150" spans="9:15" x14ac:dyDescent="0.2">
      <c r="I150" s="8">
        <v>80</v>
      </c>
      <c r="J150" s="8">
        <v>962406953.06350672</v>
      </c>
      <c r="K150" s="8">
        <v>223053456.93649328</v>
      </c>
      <c r="L150" s="8">
        <v>0.7225645026256271</v>
      </c>
      <c r="N150" s="8">
        <v>84.574468085106389</v>
      </c>
      <c r="O150" s="8">
        <v>1035969280</v>
      </c>
    </row>
    <row r="151" spans="9:15" x14ac:dyDescent="0.2">
      <c r="I151" s="8">
        <v>81</v>
      </c>
      <c r="J151" s="8">
        <v>951187077.18549502</v>
      </c>
      <c r="K151" s="8">
        <v>-235552357.18549502</v>
      </c>
      <c r="L151" s="8">
        <v>-0.763053727790869</v>
      </c>
      <c r="N151" s="8">
        <v>85.638297872340431</v>
      </c>
      <c r="O151" s="8">
        <v>1050788060</v>
      </c>
    </row>
    <row r="152" spans="9:15" x14ac:dyDescent="0.2">
      <c r="I152" s="8">
        <v>82</v>
      </c>
      <c r="J152" s="8">
        <v>936424082.609164</v>
      </c>
      <c r="K152" s="8">
        <v>-421500802.609164</v>
      </c>
      <c r="L152" s="8">
        <v>-1.3654194020418458</v>
      </c>
      <c r="N152" s="8">
        <v>86.702127659574472</v>
      </c>
      <c r="O152" s="8">
        <v>1056510690</v>
      </c>
    </row>
    <row r="153" spans="9:15" x14ac:dyDescent="0.2">
      <c r="I153" s="8">
        <v>83</v>
      </c>
      <c r="J153" s="8">
        <v>1016970981.0176263</v>
      </c>
      <c r="K153" s="8">
        <v>-253345921.01762629</v>
      </c>
      <c r="L153" s="8">
        <v>-0.82069460803941796</v>
      </c>
      <c r="N153" s="8">
        <v>87.765957446808514</v>
      </c>
      <c r="O153" s="8">
        <v>1068549530</v>
      </c>
    </row>
    <row r="154" spans="9:15" x14ac:dyDescent="0.2">
      <c r="I154" s="8">
        <v>84</v>
      </c>
      <c r="J154" s="8">
        <v>1011160266.3523824</v>
      </c>
      <c r="K154" s="8">
        <v>485487933.64761758</v>
      </c>
      <c r="L154" s="8">
        <v>1.5727007871781666</v>
      </c>
      <c r="N154" s="8">
        <v>88.829787234042556</v>
      </c>
      <c r="O154" s="8">
        <v>1077221090</v>
      </c>
    </row>
    <row r="155" spans="9:15" x14ac:dyDescent="0.2">
      <c r="I155" s="8">
        <v>85</v>
      </c>
      <c r="J155" s="8">
        <v>1008467496.1416595</v>
      </c>
      <c r="K155" s="8">
        <v>-157731786.1416595</v>
      </c>
      <c r="L155" s="8">
        <v>-0.51095997868416532</v>
      </c>
      <c r="N155" s="8">
        <v>89.893617021276597</v>
      </c>
      <c r="O155" s="8">
        <v>1110186930</v>
      </c>
    </row>
    <row r="156" spans="9:15" x14ac:dyDescent="0.2">
      <c r="I156" s="8">
        <v>86</v>
      </c>
      <c r="J156" s="8">
        <v>938313745.9149344</v>
      </c>
      <c r="K156" s="8">
        <v>4915294.0850656033</v>
      </c>
      <c r="L156" s="8">
        <v>1.5922716798983817E-2</v>
      </c>
      <c r="N156" s="8">
        <v>90.957446808510639</v>
      </c>
      <c r="O156" s="8">
        <v>1119152560</v>
      </c>
    </row>
    <row r="157" spans="9:15" x14ac:dyDescent="0.2">
      <c r="I157" s="8">
        <v>87</v>
      </c>
      <c r="J157" s="8">
        <v>881505742.7852124</v>
      </c>
      <c r="K157" s="8">
        <v>187043787.2147876</v>
      </c>
      <c r="L157" s="8">
        <v>0.60591394966161072</v>
      </c>
      <c r="N157" s="8">
        <v>92.021276595744681</v>
      </c>
      <c r="O157" s="8">
        <v>1120379070</v>
      </c>
    </row>
    <row r="158" spans="9:15" x14ac:dyDescent="0.2">
      <c r="I158" s="8">
        <v>88</v>
      </c>
      <c r="J158" s="8">
        <v>831335182.0170089</v>
      </c>
      <c r="K158" s="8">
        <v>1442920907.9829912</v>
      </c>
      <c r="L158" s="8">
        <v>4.6742312023511632</v>
      </c>
      <c r="N158" s="8">
        <v>93.085106382978722</v>
      </c>
      <c r="O158" s="8">
        <v>1151699700</v>
      </c>
    </row>
    <row r="159" spans="9:15" x14ac:dyDescent="0.2">
      <c r="I159" s="8">
        <v>89</v>
      </c>
      <c r="J159" s="8">
        <v>851625441.76271832</v>
      </c>
      <c r="K159" s="8">
        <v>300074258.23728168</v>
      </c>
      <c r="L159" s="8">
        <v>0.97206745921767201</v>
      </c>
      <c r="N159" s="8">
        <v>94.148936170212778</v>
      </c>
      <c r="O159" s="8">
        <v>1168270410</v>
      </c>
    </row>
    <row r="160" spans="9:15" x14ac:dyDescent="0.2">
      <c r="I160" s="8">
        <v>90</v>
      </c>
      <c r="J160" s="8">
        <v>875128129.12823737</v>
      </c>
      <c r="K160" s="8">
        <v>244024430.87176263</v>
      </c>
      <c r="L160" s="8">
        <v>0.79049835829963777</v>
      </c>
      <c r="N160" s="8">
        <v>95.21276595744682</v>
      </c>
      <c r="O160" s="8">
        <v>1185460410</v>
      </c>
    </row>
    <row r="161" spans="9:15" x14ac:dyDescent="0.2">
      <c r="I161" s="8">
        <v>91</v>
      </c>
      <c r="J161" s="8">
        <v>861806002.82255626</v>
      </c>
      <c r="K161" s="8">
        <v>87839977.177443743</v>
      </c>
      <c r="L161" s="8">
        <v>0.28455084396175473</v>
      </c>
      <c r="N161" s="8">
        <v>96.276595744680861</v>
      </c>
      <c r="O161" s="8">
        <v>1377698400</v>
      </c>
    </row>
    <row r="162" spans="9:15" x14ac:dyDescent="0.2">
      <c r="I162" s="8">
        <v>92</v>
      </c>
      <c r="J162" s="8">
        <v>834122435.39302015</v>
      </c>
      <c r="K162" s="8">
        <v>7549524.606979847</v>
      </c>
      <c r="L162" s="8">
        <v>2.4456103786167516E-2</v>
      </c>
      <c r="N162" s="8">
        <v>97.340425531914903</v>
      </c>
      <c r="O162" s="8">
        <v>1496648200</v>
      </c>
    </row>
    <row r="163" spans="9:15" x14ac:dyDescent="0.2">
      <c r="I163" s="8">
        <v>93</v>
      </c>
      <c r="J163" s="8">
        <v>830390350.3641237</v>
      </c>
      <c r="K163" s="8">
        <v>-66768080.364123702</v>
      </c>
      <c r="L163" s="8">
        <v>-0.21629005639355239</v>
      </c>
      <c r="N163" s="8">
        <v>98.404255319148945</v>
      </c>
      <c r="O163" s="8">
        <v>2038314440</v>
      </c>
    </row>
    <row r="164" spans="9:15" ht="17" thickBot="1" x14ac:dyDescent="0.25">
      <c r="I164" s="9">
        <v>94</v>
      </c>
      <c r="J164" s="9">
        <v>832610704.74840379</v>
      </c>
      <c r="K164" s="9">
        <v>-734239424.74840379</v>
      </c>
      <c r="L164" s="9">
        <v>-2.3785120931907748</v>
      </c>
      <c r="N164" s="9">
        <v>99.468085106382986</v>
      </c>
      <c r="O164" s="9">
        <v>2274256090</v>
      </c>
    </row>
  </sheetData>
  <sortState xmlns:xlrd2="http://schemas.microsoft.com/office/spreadsheetml/2017/richdata2" ref="O71:O164">
    <sortCondition ref="O71"/>
  </sortState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6C2E-1E8A-2C4F-9E2B-271EC833F27B}">
  <dimension ref="A1:S170"/>
  <sheetViews>
    <sheetView tabSelected="1" zoomScale="50" workbookViewId="0">
      <selection activeCell="M51" sqref="M51"/>
    </sheetView>
  </sheetViews>
  <sheetFormatPr baseColWidth="10" defaultRowHeight="16" x14ac:dyDescent="0.2"/>
  <cols>
    <col min="1" max="1" width="13.83203125" style="24" customWidth="1"/>
    <col min="2" max="2" width="21.33203125" customWidth="1"/>
    <col min="3" max="3" width="23.1640625" customWidth="1"/>
    <col min="4" max="4" width="19.83203125" bestFit="1" customWidth="1"/>
    <col min="5" max="5" width="33.1640625" bestFit="1" customWidth="1"/>
    <col min="6" max="6" width="13.5" customWidth="1"/>
    <col min="7" max="7" width="20.5" bestFit="1" customWidth="1"/>
    <col min="9" max="9" width="13.33203125" bestFit="1" customWidth="1"/>
    <col min="10" max="10" width="21" customWidth="1"/>
    <col min="11" max="11" width="22.1640625" bestFit="1" customWidth="1"/>
    <col min="12" max="12" width="13.33203125" bestFit="1" customWidth="1"/>
    <col min="13" max="13" width="21.6640625" customWidth="1"/>
    <col min="14" max="17" width="14" bestFit="1" customWidth="1"/>
  </cols>
  <sheetData>
    <row r="1" spans="1:13" x14ac:dyDescent="0.2">
      <c r="A1" s="20" t="s">
        <v>45</v>
      </c>
      <c r="B1" t="s">
        <v>46</v>
      </c>
      <c r="C1" s="20" t="s">
        <v>4</v>
      </c>
      <c r="D1" s="20" t="s">
        <v>5</v>
      </c>
      <c r="E1" s="20" t="s">
        <v>6</v>
      </c>
      <c r="F1" s="20" t="s">
        <v>7</v>
      </c>
      <c r="G1" s="21" t="s">
        <v>8</v>
      </c>
    </row>
    <row r="2" spans="1:13" x14ac:dyDescent="0.2">
      <c r="A2" s="26">
        <v>5.3589999999999999E-2</v>
      </c>
      <c r="B2" s="25">
        <v>423765060000</v>
      </c>
      <c r="C2" s="29">
        <f>k1_v*ВТБ_1[[#This Row],[Втб ао цена]]+k0_v</f>
        <v>588887807588.22961</v>
      </c>
      <c r="D2" s="25">
        <f>ВТБ_1[[#This Row],[Втб ао объем]]-ВТБ_1[[#This Row],[h=k1*x+k0]]</f>
        <v>-165122747588.22961</v>
      </c>
      <c r="E2" s="25">
        <f>ВТБ_1[[#This Row],[y-h]]^2</f>
        <v>2.7265521771086189E+22</v>
      </c>
      <c r="F2" s="26">
        <f>ВТБ_1[[#This Row],[Втб ао цена]]^2</f>
        <v>2.8718881E-3</v>
      </c>
      <c r="G2" s="25">
        <f>ВТБ_1[[#This Row],[Втб ао цена]]*ВТБ_1[[#This Row],[Втб ао объем]]</f>
        <v>22709569565.399998</v>
      </c>
    </row>
    <row r="3" spans="1:13" x14ac:dyDescent="0.2">
      <c r="A3" s="26">
        <v>5.5820000000000002E-2</v>
      </c>
      <c r="B3" s="25">
        <v>620659410000</v>
      </c>
      <c r="C3" s="29">
        <f>k1_v*ВТБ_1[[#This Row],[Втб ао цена]]+k0_v</f>
        <v>565339199297.15442</v>
      </c>
      <c r="D3" s="25">
        <f>ВТБ_1[[#This Row],[Втб ао объем]]-ВТБ_1[[#This Row],[h=k1*x+k0]]</f>
        <v>55320210702.845581</v>
      </c>
      <c r="E3" s="25">
        <f>ВТБ_1[[#This Row],[y-h]]^2</f>
        <v>3.0603257122072308E+21</v>
      </c>
      <c r="F3" s="26">
        <f>ВТБ_1[[#This Row],[Втб ао цена]]^2</f>
        <v>3.1158724000000001E-3</v>
      </c>
      <c r="G3" s="25">
        <f>ВТБ_1[[#This Row],[Втб ао цена]]*ВТБ_1[[#This Row],[Втб ао объем]]</f>
        <v>34645208266.200005</v>
      </c>
    </row>
    <row r="4" spans="1:13" x14ac:dyDescent="0.2">
      <c r="A4" s="26">
        <v>5.5879999999999999E-2</v>
      </c>
      <c r="B4" s="25">
        <v>956736250000</v>
      </c>
      <c r="C4" s="29">
        <f>k1_v*ВТБ_1[[#This Row],[Втб ао цена]]+k0_v</f>
        <v>564705604455.24207</v>
      </c>
      <c r="D4" s="25">
        <f>ВТБ_1[[#This Row],[Втб ао объем]]-ВТБ_1[[#This Row],[h=k1*x+k0]]</f>
        <v>392030645544.75793</v>
      </c>
      <c r="E4" s="25">
        <f>ВТБ_1[[#This Row],[y-h]]^2</f>
        <v>1.5368802704623963E+23</v>
      </c>
      <c r="F4" s="26">
        <f>ВТБ_1[[#This Row],[Втб ао цена]]^2</f>
        <v>3.1225744000000001E-3</v>
      </c>
      <c r="G4" s="25">
        <f>ВТБ_1[[#This Row],[Втб ао цена]]*ВТБ_1[[#This Row],[Втб ао объем]]</f>
        <v>53462421650</v>
      </c>
    </row>
    <row r="5" spans="1:13" x14ac:dyDescent="0.2">
      <c r="A5" s="26">
        <v>4.9700000000000001E-2</v>
      </c>
      <c r="B5" s="25">
        <v>684089840000</v>
      </c>
      <c r="C5" s="29">
        <f>k1_v*ВТБ_1[[#This Row],[Втб ао цена]]+k0_v</f>
        <v>629965873172.21277</v>
      </c>
      <c r="D5" s="25">
        <f>ВТБ_1[[#This Row],[Втб ао объем]]-ВТБ_1[[#This Row],[h=k1*x+k0]]</f>
        <v>54123966827.787231</v>
      </c>
      <c r="E5" s="25">
        <f>ВТБ_1[[#This Row],[y-h]]^2</f>
        <v>2.9294037851754128E+21</v>
      </c>
      <c r="F5" s="26">
        <f>ВТБ_1[[#This Row],[Втб ао цена]]^2</f>
        <v>2.4700900000000003E-3</v>
      </c>
      <c r="G5" s="25">
        <f>ВТБ_1[[#This Row],[Втб ао цена]]*ВТБ_1[[#This Row],[Втб ао объем]]</f>
        <v>33999265048</v>
      </c>
    </row>
    <row r="6" spans="1:13" x14ac:dyDescent="0.2">
      <c r="A6" s="26">
        <v>4.929E-2</v>
      </c>
      <c r="B6" s="25">
        <v>1203587690000</v>
      </c>
      <c r="C6" s="29">
        <f>k1_v*ВТБ_1[[#This Row],[Втб ао цена]]+k0_v</f>
        <v>634295437925.2804</v>
      </c>
      <c r="D6" s="25">
        <f>ВТБ_1[[#This Row],[Втб ао объем]]-ВТБ_1[[#This Row],[h=k1*x+k0]]</f>
        <v>569292252074.7196</v>
      </c>
      <c r="E6" s="25">
        <f>ВТБ_1[[#This Row],[y-h]]^2</f>
        <v>3.240936682723061E+23</v>
      </c>
      <c r="F6" s="26">
        <f>ВТБ_1[[#This Row],[Втб ао цена]]^2</f>
        <v>2.4295040999999999E-3</v>
      </c>
      <c r="G6" s="25">
        <f>ВТБ_1[[#This Row],[Втб ао цена]]*ВТБ_1[[#This Row],[Втб ао объем]]</f>
        <v>59324837240.099998</v>
      </c>
      <c r="I6" s="12" t="s">
        <v>9</v>
      </c>
      <c r="J6" s="13">
        <f>I41</f>
        <v>1154793600556.2651</v>
      </c>
      <c r="K6" s="12"/>
      <c r="L6" s="12" t="s">
        <v>10</v>
      </c>
      <c r="M6" s="13">
        <f>I40</f>
        <v>-10559914031872.281</v>
      </c>
    </row>
    <row r="7" spans="1:13" x14ac:dyDescent="0.2">
      <c r="A7" s="26">
        <v>4.5999999999999999E-2</v>
      </c>
      <c r="B7" s="25">
        <v>909928850000</v>
      </c>
      <c r="C7" s="29">
        <f>k1_v*ВТБ_1[[#This Row],[Втб ао цена]]+k0_v</f>
        <v>669037555090.14014</v>
      </c>
      <c r="D7" s="25">
        <f>ВТБ_1[[#This Row],[Втб ао объем]]-ВТБ_1[[#This Row],[h=k1*x+k0]]</f>
        <v>240891294909.85986</v>
      </c>
      <c r="E7" s="25">
        <f>ВТБ_1[[#This Row],[y-h]]^2</f>
        <v>5.8028615963349076E+22</v>
      </c>
      <c r="F7" s="26">
        <f>ВТБ_1[[#This Row],[Втб ао цена]]^2</f>
        <v>2.1159999999999998E-3</v>
      </c>
      <c r="G7" s="25">
        <f>ВТБ_1[[#This Row],[Втб ао цена]]*ВТБ_1[[#This Row],[Втб ао объем]]</f>
        <v>41856727100</v>
      </c>
    </row>
    <row r="8" spans="1:13" x14ac:dyDescent="0.2">
      <c r="A8" s="26">
        <v>4.7010000000000003E-2</v>
      </c>
      <c r="B8" s="25">
        <v>773944750000</v>
      </c>
      <c r="C8" s="29">
        <f>k1_v*ВТБ_1[[#This Row],[Втб ао цена]]+k0_v</f>
        <v>658372041917.94922</v>
      </c>
      <c r="D8" s="25">
        <f>ВТБ_1[[#This Row],[Втб ао объем]]-ВТБ_1[[#This Row],[h=k1*x+k0]]</f>
        <v>115572708082.05078</v>
      </c>
      <c r="E8" s="25">
        <f>ВТБ_1[[#This Row],[y-h]]^2</f>
        <v>1.3357050853418926E+22</v>
      </c>
      <c r="F8" s="26">
        <f>ВТБ_1[[#This Row],[Втб ао цена]]^2</f>
        <v>2.2099401000000001E-3</v>
      </c>
      <c r="G8" s="25">
        <f>ВТБ_1[[#This Row],[Втб ао цена]]*ВТБ_1[[#This Row],[Втб ао объем]]</f>
        <v>36383142697.5</v>
      </c>
    </row>
    <row r="9" spans="1:13" x14ac:dyDescent="0.2">
      <c r="A9" s="26">
        <v>4.6609999999999999E-2</v>
      </c>
      <c r="B9" s="25">
        <v>689989310000</v>
      </c>
      <c r="C9" s="29">
        <f>k1_v*ВТБ_1[[#This Row],[Втб ао цена]]+k0_v</f>
        <v>662596007530.69812</v>
      </c>
      <c r="D9" s="25">
        <f>ВТБ_1[[#This Row],[Втб ао объем]]-ВТБ_1[[#This Row],[h=k1*x+k0]]</f>
        <v>27393302469.30188</v>
      </c>
      <c r="E9" s="25">
        <f>ВТБ_1[[#This Row],[y-h]]^2</f>
        <v>7.5039302017466053E+20</v>
      </c>
      <c r="F9" s="26">
        <f>ВТБ_1[[#This Row],[Втб ао цена]]^2</f>
        <v>2.1724920999999999E-3</v>
      </c>
      <c r="G9" s="25">
        <f>ВТБ_1[[#This Row],[Втб ао цена]]*ВТБ_1[[#This Row],[Втб ао объем]]</f>
        <v>32160401739.099998</v>
      </c>
    </row>
    <row r="10" spans="1:13" x14ac:dyDescent="0.2">
      <c r="A10" s="26">
        <v>4.4499999999999998E-2</v>
      </c>
      <c r="B10" s="25">
        <v>424102620000</v>
      </c>
      <c r="C10" s="29">
        <f>k1_v*ВТБ_1[[#This Row],[Втб ао цена]]+k0_v</f>
        <v>684877426137.94873</v>
      </c>
      <c r="D10" s="25">
        <f>ВТБ_1[[#This Row],[Втб ао объем]]-ВТБ_1[[#This Row],[h=k1*x+k0]]</f>
        <v>-260774806137.94873</v>
      </c>
      <c r="E10" s="25">
        <f>ВТБ_1[[#This Row],[y-h]]^2</f>
        <v>6.8003499516284746E+22</v>
      </c>
      <c r="F10" s="26">
        <f>ВТБ_1[[#This Row],[Втб ао цена]]^2</f>
        <v>1.9802499999999998E-3</v>
      </c>
      <c r="G10" s="25">
        <f>ВТБ_1[[#This Row],[Втб ао цена]]*ВТБ_1[[#This Row],[Втб ао объем]]</f>
        <v>18872566590</v>
      </c>
    </row>
    <row r="11" spans="1:13" x14ac:dyDescent="0.2">
      <c r="A11" s="26">
        <v>4.267E-2</v>
      </c>
      <c r="B11" s="25">
        <v>770174060000</v>
      </c>
      <c r="C11" s="29">
        <f>k1_v*ВТБ_1[[#This Row],[Втб ао цена]]+k0_v</f>
        <v>704202068816.2749</v>
      </c>
      <c r="D11" s="25">
        <f>ВТБ_1[[#This Row],[Втб ао объем]]-ВТБ_1[[#This Row],[h=k1*x+k0]]</f>
        <v>65971991183.725098</v>
      </c>
      <c r="E11" s="25">
        <f>ВТБ_1[[#This Row],[y-h]]^2</f>
        <v>4.3523036207455021E+21</v>
      </c>
      <c r="F11" s="26">
        <f>ВТБ_1[[#This Row],[Втб ао цена]]^2</f>
        <v>1.8207289000000001E-3</v>
      </c>
      <c r="G11" s="25">
        <f>ВТБ_1[[#This Row],[Втб ао цена]]*ВТБ_1[[#This Row],[Втб ао объем]]</f>
        <v>32863327140.200001</v>
      </c>
    </row>
    <row r="12" spans="1:13" x14ac:dyDescent="0.2">
      <c r="A12" s="26">
        <v>4.4350000000000001E-2</v>
      </c>
      <c r="B12" s="25">
        <v>1095103330000</v>
      </c>
      <c r="C12" s="29">
        <f>k1_v*ВТБ_1[[#This Row],[Втб ао цена]]+k0_v</f>
        <v>686461413242.72949</v>
      </c>
      <c r="D12" s="25">
        <f>ВТБ_1[[#This Row],[Втб ао объем]]-ВТБ_1[[#This Row],[h=k1*x+k0]]</f>
        <v>408641916757.27051</v>
      </c>
      <c r="E12" s="25">
        <f>ВТБ_1[[#This Row],[y-h]]^2</f>
        <v>1.6698821613105601E+23</v>
      </c>
      <c r="F12" s="26">
        <f>ВТБ_1[[#This Row],[Втб ао цена]]^2</f>
        <v>1.9669225E-3</v>
      </c>
      <c r="G12" s="25">
        <f>ВТБ_1[[#This Row],[Втб ао цена]]*ВТБ_1[[#This Row],[Втб ао объем]]</f>
        <v>48567832685.5</v>
      </c>
    </row>
    <row r="13" spans="1:13" x14ac:dyDescent="0.2">
      <c r="A13" s="26">
        <v>4.6280000000000002E-2</v>
      </c>
      <c r="B13" s="25">
        <v>1117892430000</v>
      </c>
      <c r="C13" s="29">
        <f>k1_v*ВТБ_1[[#This Row],[Втб ао цена]]+k0_v</f>
        <v>666080779161.21594</v>
      </c>
      <c r="D13" s="25">
        <f>ВТБ_1[[#This Row],[Втб ао объем]]-ВТБ_1[[#This Row],[h=k1*x+k0]]</f>
        <v>451811650838.78406</v>
      </c>
      <c r="E13" s="25">
        <f>ВТБ_1[[#This Row],[y-h]]^2</f>
        <v>2.0413376783366733E+23</v>
      </c>
      <c r="F13" s="26">
        <f>ВТБ_1[[#This Row],[Втб ао цена]]^2</f>
        <v>2.1418384000000002E-3</v>
      </c>
      <c r="G13" s="25">
        <f>ВТБ_1[[#This Row],[Втб ао цена]]*ВТБ_1[[#This Row],[Втб ао объем]]</f>
        <v>51736061660.400002</v>
      </c>
    </row>
    <row r="14" spans="1:13" x14ac:dyDescent="0.2">
      <c r="A14" s="26">
        <v>4.9660000000000003E-2</v>
      </c>
      <c r="B14" s="25">
        <v>883378010000</v>
      </c>
      <c r="C14" s="29">
        <f>k1_v*ВТБ_1[[#This Row],[Втб ао цена]]+k0_v</f>
        <v>630388269733.48755</v>
      </c>
      <c r="D14" s="25">
        <f>ВТБ_1[[#This Row],[Втб ао объем]]-ВТБ_1[[#This Row],[h=k1*x+k0]]</f>
        <v>252989740266.51245</v>
      </c>
      <c r="E14" s="25">
        <f>ВТБ_1[[#This Row],[y-h]]^2</f>
        <v>6.400380868011743E+22</v>
      </c>
      <c r="F14" s="26">
        <f>ВТБ_1[[#This Row],[Втб ао цена]]^2</f>
        <v>2.4661156000000003E-3</v>
      </c>
      <c r="G14" s="25">
        <f>ВТБ_1[[#This Row],[Втб ао цена]]*ВТБ_1[[#This Row],[Втб ао объем]]</f>
        <v>43868551976.600006</v>
      </c>
    </row>
    <row r="15" spans="1:13" x14ac:dyDescent="0.2">
      <c r="A15" s="26">
        <v>4.5440000000000001E-2</v>
      </c>
      <c r="B15" s="25">
        <v>562228330000</v>
      </c>
      <c r="C15" s="29">
        <f>k1_v*ВТБ_1[[#This Row],[Втб ао цена]]+k0_v</f>
        <v>674951106947.98865</v>
      </c>
      <c r="D15" s="25">
        <f>ВТБ_1[[#This Row],[Втб ао объем]]-ВТБ_1[[#This Row],[h=k1*x+k0]]</f>
        <v>-112722776947.98865</v>
      </c>
      <c r="E15" s="25">
        <f>ВТБ_1[[#This Row],[y-h]]^2</f>
        <v>1.2706424442866002E+22</v>
      </c>
      <c r="F15" s="26">
        <f>ВТБ_1[[#This Row],[Втб ао цена]]^2</f>
        <v>2.0647936000000003E-3</v>
      </c>
      <c r="G15" s="25">
        <f>ВТБ_1[[#This Row],[Втб ао цена]]*ВТБ_1[[#This Row],[Втб ао объем]]</f>
        <v>25547655315.200001</v>
      </c>
    </row>
    <row r="16" spans="1:13" x14ac:dyDescent="0.2">
      <c r="A16" s="26">
        <v>4.2130000000000001E-2</v>
      </c>
      <c r="B16" s="25">
        <v>531533830000</v>
      </c>
      <c r="C16" s="29">
        <f>k1_v*ВТБ_1[[#This Row],[Втб ао цена]]+k0_v</f>
        <v>709904422393.48584</v>
      </c>
      <c r="D16" s="25">
        <f>ВТБ_1[[#This Row],[Втб ао объем]]-ВТБ_1[[#This Row],[h=k1*x+k0]]</f>
        <v>-178370592393.48584</v>
      </c>
      <c r="E16" s="25">
        <f>ВТБ_1[[#This Row],[y-h]]^2</f>
        <v>3.1816068230803068E+22</v>
      </c>
      <c r="F16" s="26">
        <f>ВТБ_1[[#This Row],[Втб ао цена]]^2</f>
        <v>1.7749369000000001E-3</v>
      </c>
      <c r="G16" s="25">
        <f>ВТБ_1[[#This Row],[Втб ао цена]]*ВТБ_1[[#This Row],[Втб ао объем]]</f>
        <v>22393520257.900002</v>
      </c>
    </row>
    <row r="17" spans="1:7" x14ac:dyDescent="0.2">
      <c r="A17" s="26">
        <v>3.9600000000000003E-2</v>
      </c>
      <c r="B17" s="25">
        <v>1718001780000</v>
      </c>
      <c r="C17" s="29">
        <f>k1_v*ВТБ_1[[#This Row],[Втб ао цена]]+k0_v</f>
        <v>736621004894.1228</v>
      </c>
      <c r="D17" s="25">
        <f>ВТБ_1[[#This Row],[Втб ао объем]]-ВТБ_1[[#This Row],[h=k1*x+k0]]</f>
        <v>981380775105.8772</v>
      </c>
      <c r="E17" s="25">
        <f>ВТБ_1[[#This Row],[y-h]]^2</f>
        <v>9.6310822574741228E+23</v>
      </c>
      <c r="F17" s="26">
        <f>ВТБ_1[[#This Row],[Втб ао цена]]^2</f>
        <v>1.5681600000000003E-3</v>
      </c>
      <c r="G17" s="25">
        <f>ВТБ_1[[#This Row],[Втб ао цена]]*ВТБ_1[[#This Row],[Втб ао объем]]</f>
        <v>68032870488.000008</v>
      </c>
    </row>
    <row r="18" spans="1:7" x14ac:dyDescent="0.2">
      <c r="A18" s="26">
        <v>3.8649999999999997E-2</v>
      </c>
      <c r="B18" s="25">
        <v>1581562680000</v>
      </c>
      <c r="C18" s="29">
        <f>k1_v*ВТБ_1[[#This Row],[Втб ао цена]]+k0_v</f>
        <v>746652923224.40149</v>
      </c>
      <c r="D18" s="25">
        <f>ВТБ_1[[#This Row],[Втб ао объем]]-ВТБ_1[[#This Row],[h=k1*x+k0]]</f>
        <v>834909756775.59851</v>
      </c>
      <c r="E18" s="25">
        <f>ВТБ_1[[#This Row],[y-h]]^2</f>
        <v>6.9707430195908912E+23</v>
      </c>
      <c r="F18" s="26">
        <f>ВТБ_1[[#This Row],[Втб ао цена]]^2</f>
        <v>1.4938224999999999E-3</v>
      </c>
      <c r="G18" s="25">
        <f>ВТБ_1[[#This Row],[Втб ао цена]]*ВТБ_1[[#This Row],[Втб ао объем]]</f>
        <v>61127397581.999992</v>
      </c>
    </row>
    <row r="19" spans="1:7" x14ac:dyDescent="0.2">
      <c r="A19" s="26">
        <v>4.7899999999999998E-2</v>
      </c>
      <c r="B19" s="25">
        <v>1337467810000</v>
      </c>
      <c r="C19" s="29">
        <f>k1_v*ВТБ_1[[#This Row],[Втб ао цена]]+k0_v</f>
        <v>648973718429.58289</v>
      </c>
      <c r="D19" s="25">
        <f>ВТБ_1[[#This Row],[Втб ао объем]]-ВТБ_1[[#This Row],[h=k1*x+k0]]</f>
        <v>688494091570.41711</v>
      </c>
      <c r="E19" s="25">
        <f>ВТБ_1[[#This Row],[y-h]]^2</f>
        <v>4.7402411412737393E+23</v>
      </c>
      <c r="F19" s="26">
        <f>ВТБ_1[[#This Row],[Втб ао цена]]^2</f>
        <v>2.2944099999999998E-3</v>
      </c>
      <c r="G19" s="25">
        <f>ВТБ_1[[#This Row],[Втб ао цена]]*ВТБ_1[[#This Row],[Втб ао объем]]</f>
        <v>64064708099</v>
      </c>
    </row>
    <row r="20" spans="1:7" x14ac:dyDescent="0.2">
      <c r="A20" s="26">
        <v>4.1099999999999998E-2</v>
      </c>
      <c r="B20" s="25">
        <v>1219984610000</v>
      </c>
      <c r="C20" s="29">
        <f>k1_v*ВТБ_1[[#This Row],[Втб ао цена]]+k0_v</f>
        <v>720781133846.31445</v>
      </c>
      <c r="D20" s="25">
        <f>ВТБ_1[[#This Row],[Втб ао объем]]-ВТБ_1[[#This Row],[h=k1*x+k0]]</f>
        <v>499203476153.68555</v>
      </c>
      <c r="E20" s="25">
        <f>ВТБ_1[[#This Row],[y-h]]^2</f>
        <v>2.4920411060392329E+23</v>
      </c>
      <c r="F20" s="26">
        <f>ВТБ_1[[#This Row],[Втб ао цена]]^2</f>
        <v>1.6892099999999998E-3</v>
      </c>
      <c r="G20" s="25">
        <f>ВТБ_1[[#This Row],[Втб ао цена]]*ВТБ_1[[#This Row],[Втб ао объем]]</f>
        <v>50141367471</v>
      </c>
    </row>
    <row r="21" spans="1:7" x14ac:dyDescent="0.2">
      <c r="A21" s="26">
        <v>3.9800000000000002E-2</v>
      </c>
      <c r="B21" s="25">
        <v>1064257460000</v>
      </c>
      <c r="C21" s="29">
        <f>k1_v*ВТБ_1[[#This Row],[Втб ао цена]]+k0_v</f>
        <v>734509022087.74829</v>
      </c>
      <c r="D21" s="25">
        <f>ВТБ_1[[#This Row],[Втб ао объем]]-ВТБ_1[[#This Row],[h=k1*x+k0]]</f>
        <v>329748437912.25171</v>
      </c>
      <c r="E21" s="25">
        <f>ВТБ_1[[#This Row],[y-h]]^2</f>
        <v>1.0873403230557013E+23</v>
      </c>
      <c r="F21" s="26">
        <f>ВТБ_1[[#This Row],[Втб ао цена]]^2</f>
        <v>1.5840400000000001E-3</v>
      </c>
      <c r="G21" s="25">
        <f>ВТБ_1[[#This Row],[Втб ао цена]]*ВТБ_1[[#This Row],[Втб ао объем]]</f>
        <v>42357446908</v>
      </c>
    </row>
    <row r="22" spans="1:7" x14ac:dyDescent="0.2">
      <c r="A22" s="26">
        <v>3.8399999999999997E-2</v>
      </c>
      <c r="B22" s="25">
        <v>699479420000</v>
      </c>
      <c r="C22" s="29">
        <f>k1_v*ВТБ_1[[#This Row],[Втб ао цена]]+k0_v</f>
        <v>749292901732.36963</v>
      </c>
      <c r="D22" s="25">
        <f>ВТБ_1[[#This Row],[Втб ао объем]]-ВТБ_1[[#This Row],[h=k1*x+k0]]</f>
        <v>-49813481732.369629</v>
      </c>
      <c r="E22" s="25">
        <f>ВТБ_1[[#This Row],[y-h]]^2</f>
        <v>2.4813829623011229E+21</v>
      </c>
      <c r="F22" s="26">
        <f>ВТБ_1[[#This Row],[Втб ао цена]]^2</f>
        <v>1.4745599999999998E-3</v>
      </c>
      <c r="G22" s="25">
        <f>ВТБ_1[[#This Row],[Втб ао цена]]*ВТБ_1[[#This Row],[Втб ао объем]]</f>
        <v>26860009727.999996</v>
      </c>
    </row>
    <row r="23" spans="1:7" x14ac:dyDescent="0.2">
      <c r="A23" s="26">
        <v>3.8039999999999997E-2</v>
      </c>
      <c r="B23" s="25">
        <v>534436210000</v>
      </c>
      <c r="C23" s="29">
        <f>k1_v*ВТБ_1[[#This Row],[Втб ао цена]]+k0_v</f>
        <v>753094470783.84351</v>
      </c>
      <c r="D23" s="25">
        <f>ВТБ_1[[#This Row],[Втб ао объем]]-ВТБ_1[[#This Row],[h=k1*x+k0]]</f>
        <v>-218658260783.84351</v>
      </c>
      <c r="E23" s="25">
        <f>ВТБ_1[[#This Row],[y-h]]^2</f>
        <v>4.7811435009015313E+22</v>
      </c>
      <c r="F23" s="26">
        <f>ВТБ_1[[#This Row],[Втб ао цена]]^2</f>
        <v>1.4470415999999998E-3</v>
      </c>
      <c r="G23" s="25">
        <f>ВТБ_1[[#This Row],[Втб ао цена]]*ВТБ_1[[#This Row],[Втб ао объем]]</f>
        <v>20329953428.399998</v>
      </c>
    </row>
    <row r="24" spans="1:7" x14ac:dyDescent="0.2">
      <c r="A24" s="26">
        <v>3.993E-2</v>
      </c>
      <c r="B24" s="25">
        <v>552675470000</v>
      </c>
      <c r="C24" s="29">
        <f>k1_v*ВТБ_1[[#This Row],[Втб ао цена]]+k0_v</f>
        <v>733136233263.60498</v>
      </c>
      <c r="D24" s="25">
        <f>ВТБ_1[[#This Row],[Втб ао объем]]-ВТБ_1[[#This Row],[h=k1*x+k0]]</f>
        <v>-180460763263.60498</v>
      </c>
      <c r="E24" s="25">
        <f>ВТБ_1[[#This Row],[y-h]]^2</f>
        <v>3.256608707768288E+22</v>
      </c>
      <c r="F24" s="26">
        <f>ВТБ_1[[#This Row],[Втб ао цена]]^2</f>
        <v>1.5944049000000001E-3</v>
      </c>
      <c r="G24" s="25">
        <f>ВТБ_1[[#This Row],[Втб ао цена]]*ВТБ_1[[#This Row],[Втб ао объем]]</f>
        <v>22068331517.099998</v>
      </c>
    </row>
    <row r="25" spans="1:7" x14ac:dyDescent="0.2">
      <c r="A25" s="26">
        <v>4.6699999999999998E-2</v>
      </c>
      <c r="B25" s="25">
        <v>1215936210000</v>
      </c>
      <c r="C25" s="29">
        <f>k1_v*ВТБ_1[[#This Row],[Втб ао цена]]+k0_v</f>
        <v>661645615267.82959</v>
      </c>
      <c r="D25" s="25">
        <f>ВТБ_1[[#This Row],[Втб ао объем]]-ВТБ_1[[#This Row],[h=k1*x+k0]]</f>
        <v>554290594732.17041</v>
      </c>
      <c r="E25" s="25">
        <f>ВТБ_1[[#This Row],[y-h]]^2</f>
        <v>3.0723806340854317E+23</v>
      </c>
      <c r="F25" s="26">
        <f>ВТБ_1[[#This Row],[Втб ао цена]]^2</f>
        <v>2.18089E-3</v>
      </c>
      <c r="G25" s="25">
        <f>ВТБ_1[[#This Row],[Втб ао цена]]*ВТБ_1[[#This Row],[Втб ао объем]]</f>
        <v>56784221007</v>
      </c>
    </row>
    <row r="26" spans="1:7" x14ac:dyDescent="0.2">
      <c r="A26" s="26">
        <v>6.7000000000000004E-2</v>
      </c>
      <c r="B26" s="25">
        <v>1901970000000</v>
      </c>
      <c r="C26" s="29">
        <f>k1_v*ВТБ_1[[#This Row],[Втб ао цена]]+k0_v</f>
        <v>447279360420.82227</v>
      </c>
      <c r="D26" s="25">
        <f>ВТБ_1[[#This Row],[Втб ао объем]]-ВТБ_1[[#This Row],[h=k1*x+k0]]</f>
        <v>1454690639579.1777</v>
      </c>
      <c r="E26" s="25">
        <f>ВТБ_1[[#This Row],[y-h]]^2</f>
        <v>2.1161248568792773E+24</v>
      </c>
      <c r="F26" s="26">
        <f>ВТБ_1[[#This Row],[Втб ао цена]]^2</f>
        <v>4.4890000000000008E-3</v>
      </c>
      <c r="G26" s="25">
        <f>ВТБ_1[[#This Row],[Втб ао цена]]*ВТБ_1[[#This Row],[Втб ао объем]]</f>
        <v>127431990000</v>
      </c>
    </row>
    <row r="27" spans="1:7" x14ac:dyDescent="0.2">
      <c r="A27" s="26">
        <v>6.8940000000000001E-2</v>
      </c>
      <c r="B27" s="25">
        <v>472099150000</v>
      </c>
      <c r="C27" s="29">
        <f>k1_v*ВТБ_1[[#This Row],[Втб ао цена]]+k0_v</f>
        <v>426793127198.99011</v>
      </c>
      <c r="D27" s="25">
        <f>ВТБ_1[[#This Row],[Втб ао объем]]-ВТБ_1[[#This Row],[h=k1*x+k0]]</f>
        <v>45306022801.009888</v>
      </c>
      <c r="E27" s="25">
        <f>ВТБ_1[[#This Row],[y-h]]^2</f>
        <v>2.0526357020456279E+21</v>
      </c>
      <c r="F27" s="26">
        <f>ВТБ_1[[#This Row],[Втб ао цена]]^2</f>
        <v>4.7527236000000006E-3</v>
      </c>
      <c r="G27" s="25">
        <f>ВТБ_1[[#This Row],[Втб ао цена]]*ВТБ_1[[#This Row],[Втб ао объем]]</f>
        <v>32546515401</v>
      </c>
    </row>
    <row r="28" spans="1:7" x14ac:dyDescent="0.2">
      <c r="A28" s="26">
        <v>6.8000000000000005E-2</v>
      </c>
      <c r="B28" s="25">
        <v>435810560000</v>
      </c>
      <c r="C28" s="29">
        <f>k1_v*ВТБ_1[[#This Row],[Втб ао цена]]+k0_v</f>
        <v>436719446388.94995</v>
      </c>
      <c r="D28" s="25">
        <f>ВТБ_1[[#This Row],[Втб ао объем]]-ВТБ_1[[#This Row],[h=k1*x+k0]]</f>
        <v>-908886388.94995117</v>
      </c>
      <c r="E28" s="25">
        <f>ВТБ_1[[#This Row],[y-h]]^2</f>
        <v>8.2607446801848192E+17</v>
      </c>
      <c r="F28" s="26">
        <f>ВТБ_1[[#This Row],[Втб ао цена]]^2</f>
        <v>4.6240000000000005E-3</v>
      </c>
      <c r="G28" s="25">
        <f>ВТБ_1[[#This Row],[Втб ао цена]]*ВТБ_1[[#This Row],[Втб ао объем]]</f>
        <v>29635118080.000004</v>
      </c>
    </row>
    <row r="29" spans="1:7" x14ac:dyDescent="0.2">
      <c r="A29" s="26">
        <v>0.06</v>
      </c>
      <c r="B29" s="25">
        <v>380858460000</v>
      </c>
      <c r="C29" s="29">
        <f>k1_v*ВТБ_1[[#This Row],[Втб ао цена]]+k0_v</f>
        <v>521198758643.92834</v>
      </c>
      <c r="D29" s="25">
        <f>ВТБ_1[[#This Row],[Втб ао объем]]-ВТБ_1[[#This Row],[h=k1*x+k0]]</f>
        <v>-140340298643.92834</v>
      </c>
      <c r="E29" s="25">
        <f>ВТБ_1[[#This Row],[y-h]]^2</f>
        <v>1.9695399423466994E+22</v>
      </c>
      <c r="F29" s="26">
        <f>ВТБ_1[[#This Row],[Втб ао цена]]^2</f>
        <v>3.5999999999999999E-3</v>
      </c>
      <c r="G29" s="25">
        <f>ВТБ_1[[#This Row],[Втб ао цена]]*ВТБ_1[[#This Row],[Втб ао объем]]</f>
        <v>22851507600</v>
      </c>
    </row>
    <row r="30" spans="1:7" x14ac:dyDescent="0.2">
      <c r="A30" s="26">
        <v>6.5500000000000003E-2</v>
      </c>
      <c r="B30" s="25">
        <v>670781500000</v>
      </c>
      <c r="C30" s="29">
        <f>k1_v*ВТБ_1[[#This Row],[Втб ао цена]]+k0_v</f>
        <v>463119231468.63074</v>
      </c>
      <c r="D30" s="25">
        <f>ВТБ_1[[#This Row],[Втб ао объем]]-ВТБ_1[[#This Row],[h=k1*x+k0]]</f>
        <v>207662268531.36926</v>
      </c>
      <c r="E30" s="25">
        <f>ВТБ_1[[#This Row],[y-h]]^2</f>
        <v>4.3123617771594518E+22</v>
      </c>
      <c r="F30" s="26">
        <f>ВТБ_1[[#This Row],[Втб ао цена]]^2</f>
        <v>4.2902500000000007E-3</v>
      </c>
      <c r="G30" s="25">
        <f>ВТБ_1[[#This Row],[Втб ао цена]]*ВТБ_1[[#This Row],[Втб ао объем]]</f>
        <v>43936188250</v>
      </c>
    </row>
    <row r="31" spans="1:7" x14ac:dyDescent="0.2">
      <c r="A31" s="26">
        <v>8.0250000000000002E-2</v>
      </c>
      <c r="B31" s="25">
        <v>1045976670000</v>
      </c>
      <c r="C31" s="29">
        <f>k1_v*ВТБ_1[[#This Row],[Втб ао цена]]+k0_v</f>
        <v>307360499498.51453</v>
      </c>
      <c r="D31" s="25">
        <f>ВТБ_1[[#This Row],[Втб ао объем]]-ВТБ_1[[#This Row],[h=k1*x+k0]]</f>
        <v>738616170501.48547</v>
      </c>
      <c r="E31" s="25">
        <f>ВТБ_1[[#This Row],[y-h]]^2</f>
        <v>5.4555384732627943E+23</v>
      </c>
      <c r="F31" s="26">
        <f>ВТБ_1[[#This Row],[Втб ао цена]]^2</f>
        <v>6.4400625000000005E-3</v>
      </c>
      <c r="G31" s="25">
        <f>ВТБ_1[[#This Row],[Втб ао цена]]*ВТБ_1[[#This Row],[Втб ао объем]]</f>
        <v>83939627767.5</v>
      </c>
    </row>
    <row r="32" spans="1:7" x14ac:dyDescent="0.2">
      <c r="A32" s="26">
        <v>7.9000000000000001E-2</v>
      </c>
      <c r="B32" s="25">
        <v>757627400000</v>
      </c>
      <c r="C32" s="29">
        <f>k1_v*ВТБ_1[[#This Row],[Втб ао цена]]+k0_v</f>
        <v>320560392038.35486</v>
      </c>
      <c r="D32" s="25">
        <f>ВТБ_1[[#This Row],[Втб ао объем]]-ВТБ_1[[#This Row],[h=k1*x+k0]]</f>
        <v>437067007961.64514</v>
      </c>
      <c r="E32" s="25">
        <f>ВТБ_1[[#This Row],[y-h]]^2</f>
        <v>1.9102756944854477E+23</v>
      </c>
      <c r="F32" s="26">
        <f>ВТБ_1[[#This Row],[Втб ао цена]]^2</f>
        <v>6.241E-3</v>
      </c>
      <c r="G32" s="25">
        <f>ВТБ_1[[#This Row],[Втб ао цена]]*ВТБ_1[[#This Row],[Втб ао объем]]</f>
        <v>59852564600</v>
      </c>
    </row>
    <row r="33" spans="1:19" x14ac:dyDescent="0.2">
      <c r="A33" s="26">
        <v>7.1999999999999995E-2</v>
      </c>
      <c r="B33" s="25">
        <v>355294170000</v>
      </c>
      <c r="C33" s="29">
        <f>k1_v*ВТБ_1[[#This Row],[Втб ао цена]]+k0_v</f>
        <v>394479790261.46094</v>
      </c>
      <c r="D33" s="25">
        <f>ВТБ_1[[#This Row],[Втб ао объем]]-ВТБ_1[[#This Row],[h=k1*x+k0]]</f>
        <v>-39185620261.460938</v>
      </c>
      <c r="E33" s="25">
        <f>ВТБ_1[[#This Row],[y-h]]^2</f>
        <v>1.535512835275418E+21</v>
      </c>
      <c r="F33" s="26">
        <f>ВТБ_1[[#This Row],[Втб ао цена]]^2</f>
        <v>5.1839999999999994E-3</v>
      </c>
      <c r="G33" s="25">
        <f>ВТБ_1[[#This Row],[Втб ао цена]]*ВТБ_1[[#This Row],[Втб ао объем]]</f>
        <v>25581180239.999996</v>
      </c>
    </row>
    <row r="34" spans="1:19" x14ac:dyDescent="0.2">
      <c r="A34" s="26">
        <v>6.9000000000000006E-2</v>
      </c>
      <c r="B34" s="25">
        <v>297785390000</v>
      </c>
      <c r="C34" s="29">
        <f>k1_v*ВТБ_1[[#This Row],[Втб ао цена]]+k0_v</f>
        <v>426159532357.07764</v>
      </c>
      <c r="D34" s="25">
        <f>ВТБ_1[[#This Row],[Втб ао объем]]-ВТБ_1[[#This Row],[h=k1*x+k0]]</f>
        <v>-128374142357.07764</v>
      </c>
      <c r="E34" s="25">
        <f>ВТБ_1[[#This Row],[y-h]]^2</f>
        <v>1.6479920425915235E+22</v>
      </c>
      <c r="F34" s="26">
        <f>ВТБ_1[[#This Row],[Втб ао цена]]^2</f>
        <v>4.7610000000000005E-3</v>
      </c>
      <c r="G34" s="25">
        <f>ВТБ_1[[#This Row],[Втб ао цена]]*ВТБ_1[[#This Row],[Втб ао объем]]</f>
        <v>20547191910</v>
      </c>
    </row>
    <row r="35" spans="1:19" x14ac:dyDescent="0.2">
      <c r="A35" s="26">
        <v>6.7699999999999996E-2</v>
      </c>
      <c r="B35" s="25">
        <v>288953870000</v>
      </c>
      <c r="C35" s="29">
        <f>k1_v*ВТБ_1[[#This Row],[Втб ао цена]]+k0_v</f>
        <v>439887420598.51172</v>
      </c>
      <c r="D35" s="25">
        <f>ВТБ_1[[#This Row],[Втб ао объем]]-ВТБ_1[[#This Row],[h=k1*x+k0]]</f>
        <v>-150933550598.51172</v>
      </c>
      <c r="E35" s="25">
        <f>ВТБ_1[[#This Row],[y-h]]^2</f>
        <v>2.2780936696273499E+22</v>
      </c>
      <c r="F35" s="26">
        <f>ВТБ_1[[#This Row],[Втб ао цена]]^2</f>
        <v>4.5832899999999994E-3</v>
      </c>
      <c r="G35" s="25">
        <f>ВТБ_1[[#This Row],[Втб ао цена]]*ВТБ_1[[#This Row],[Втб ао объем]]</f>
        <v>19562176999</v>
      </c>
    </row>
    <row r="36" spans="1:19" x14ac:dyDescent="0.2">
      <c r="A36" s="26">
        <v>7.2349999999999998E-2</v>
      </c>
      <c r="B36" s="25">
        <v>406369030000</v>
      </c>
      <c r="C36" s="29">
        <f>k1_v*ВТБ_1[[#This Row],[Втб ао цена]]+k0_v</f>
        <v>390783820350.30566</v>
      </c>
      <c r="D36" s="25">
        <f>ВТБ_1[[#This Row],[Втб ао объем]]-ВТБ_1[[#This Row],[h=k1*x+k0]]</f>
        <v>15585209649.694336</v>
      </c>
      <c r="E36" s="25">
        <f>ВТБ_1[[#This Row],[y-h]]^2</f>
        <v>2.4289875982492546E+20</v>
      </c>
      <c r="F36" s="26">
        <f>ВТБ_1[[#This Row],[Втб ао цена]]^2</f>
        <v>5.2345224999999999E-3</v>
      </c>
      <c r="G36" s="25">
        <f>ВТБ_1[[#This Row],[Втб ао цена]]*ВТБ_1[[#This Row],[Втб ао объем]]</f>
        <v>29400799320.5</v>
      </c>
      <c r="I36" s="12" t="s">
        <v>9</v>
      </c>
      <c r="J36" t="s">
        <v>10</v>
      </c>
      <c r="K36" t="s">
        <v>11</v>
      </c>
    </row>
    <row r="37" spans="1:19" x14ac:dyDescent="0.2">
      <c r="A37" s="26">
        <v>7.0999999999999994E-2</v>
      </c>
      <c r="B37" s="25">
        <v>293559920000</v>
      </c>
      <c r="C37" s="29">
        <f>k1_v*ВТБ_1[[#This Row],[Втб ао цена]]+k0_v</f>
        <v>405039704293.33325</v>
      </c>
      <c r="D37" s="25">
        <f>ВТБ_1[[#This Row],[Втб ао объем]]-ВТБ_1[[#This Row],[h=k1*x+k0]]</f>
        <v>-111479784293.33325</v>
      </c>
      <c r="E37" s="25">
        <f>ВТБ_1[[#This Row],[y-h]]^2</f>
        <v>1.2427742306088111E+22</v>
      </c>
      <c r="F37" s="26">
        <f>ВТБ_1[[#This Row],[Втб ао цена]]^2</f>
        <v>5.0409999999999995E-3</v>
      </c>
      <c r="G37" s="25">
        <f>ВТБ_1[[#This Row],[Втб ао цена]]*ВТБ_1[[#This Row],[Втб ао объем]]</f>
        <v>20842754320</v>
      </c>
      <c r="I37" s="5">
        <f>F95</f>
        <v>0.27839685029999989</v>
      </c>
      <c r="J37" s="13">
        <f>A95</f>
        <v>4.9276200000000028</v>
      </c>
      <c r="K37" s="25">
        <f>ВТБ_1[[#Totals],[x*y]]</f>
        <v>2750537236061.1494</v>
      </c>
    </row>
    <row r="38" spans="1:19" x14ac:dyDescent="0.2">
      <c r="A38" s="26">
        <v>7.9699999999999993E-2</v>
      </c>
      <c r="B38" s="25">
        <v>349150430000</v>
      </c>
      <c r="C38" s="29">
        <f>k1_v*ВТБ_1[[#This Row],[Втб ао цена]]+k0_v</f>
        <v>313168452216.04443</v>
      </c>
      <c r="D38" s="25">
        <f>ВТБ_1[[#This Row],[Втб ао объем]]-ВТБ_1[[#This Row],[h=k1*x+k0]]</f>
        <v>35981977783.955566</v>
      </c>
      <c r="E38" s="25">
        <f>ВТБ_1[[#This Row],[y-h]]^2</f>
        <v>1.294702725245072E+21</v>
      </c>
      <c r="F38" s="26">
        <f>ВТБ_1[[#This Row],[Втб ао цена]]^2</f>
        <v>6.3520899999999986E-3</v>
      </c>
      <c r="G38" s="25">
        <f>ВТБ_1[[#This Row],[Втб ао цена]]*ВТБ_1[[#This Row],[Втб ао объем]]</f>
        <v>27827289270.999996</v>
      </c>
      <c r="I38" s="13">
        <f>A95</f>
        <v>4.9276200000000028</v>
      </c>
      <c r="J38">
        <f>COUNT(A2:A94)</f>
        <v>93</v>
      </c>
      <c r="K38" s="25">
        <f>ВТБ_1[[#Totals],[Втб ао объем]]</f>
        <v>55360561270000</v>
      </c>
    </row>
    <row r="39" spans="1:19" x14ac:dyDescent="0.2">
      <c r="A39" s="26">
        <v>7.3700000000000002E-2</v>
      </c>
      <c r="B39" s="25">
        <v>393514230000</v>
      </c>
      <c r="C39" s="29">
        <f>k1_v*ВТБ_1[[#This Row],[Втб ао цена]]+k0_v</f>
        <v>376527936407.27795</v>
      </c>
      <c r="D39" s="25">
        <f>ВТБ_1[[#This Row],[Втб ао объем]]-ВТБ_1[[#This Row],[h=k1*x+k0]]</f>
        <v>16986293592.722046</v>
      </c>
      <c r="E39" s="25">
        <f>ВТБ_1[[#This Row],[y-h]]^2</f>
        <v>2.8853417001815002E+20</v>
      </c>
      <c r="F39" s="26">
        <f>ВТБ_1[[#This Row],[Втб ао цена]]^2</f>
        <v>5.4316900000000003E-3</v>
      </c>
      <c r="G39" s="25">
        <f>ВТБ_1[[#This Row],[Втб ао цена]]*ВТБ_1[[#This Row],[Втб ао объем]]</f>
        <v>29001998751</v>
      </c>
    </row>
    <row r="40" spans="1:19" x14ac:dyDescent="0.2">
      <c r="A40" s="26">
        <v>7.3400000000000007E-2</v>
      </c>
      <c r="B40" s="25">
        <v>284381410000</v>
      </c>
      <c r="C40" s="29">
        <f>k1_v*ВТБ_1[[#This Row],[Втб ао цена]]+k0_v</f>
        <v>379695910616.8396</v>
      </c>
      <c r="D40" s="25">
        <f>ВТБ_1[[#This Row],[Втб ао объем]]-ВТБ_1[[#This Row],[h=k1*x+k0]]</f>
        <v>-95314500616.8396</v>
      </c>
      <c r="E40" s="25">
        <f>ВТБ_1[[#This Row],[y-h]]^2</f>
        <v>9.084854027837516E+21</v>
      </c>
      <c r="F40" s="26">
        <f>ВТБ_1[[#This Row],[Втб ао цена]]^2</f>
        <v>5.3875600000000013E-3</v>
      </c>
      <c r="G40" s="25">
        <f>ВТБ_1[[#This Row],[Втб ао цена]]*ВТБ_1[[#This Row],[Втб ао объем]]</f>
        <v>20873595494.000004</v>
      </c>
      <c r="I40">
        <f t="array" ref="I40">MMULT(MINVERSE(I37:J38),K37:K38)</f>
        <v>-10559914031872.281</v>
      </c>
    </row>
    <row r="41" spans="1:19" x14ac:dyDescent="0.2">
      <c r="A41" s="26">
        <v>7.6679999999999998E-2</v>
      </c>
      <c r="B41" s="25">
        <v>303739850000</v>
      </c>
      <c r="C41" s="29">
        <f>k1_v*ВТБ_1[[#This Row],[Втб ао цена]]+k0_v</f>
        <v>345059392592.29858</v>
      </c>
      <c r="D41" s="25">
        <f>ВТБ_1[[#This Row],[Втб ао объем]]-ВТБ_1[[#This Row],[h=k1*x+k0]]</f>
        <v>-41319542592.298584</v>
      </c>
      <c r="E41" s="25">
        <f>ВТБ_1[[#This Row],[y-h]]^2</f>
        <v>1.7073046000367769E+21</v>
      </c>
      <c r="F41" s="26">
        <f>ВТБ_1[[#This Row],[Втб ао цена]]^2</f>
        <v>5.8798224E-3</v>
      </c>
      <c r="G41" s="25">
        <f>ВТБ_1[[#This Row],[Втб ао цена]]*ВТБ_1[[#This Row],[Втб ао объем]]</f>
        <v>23290771698</v>
      </c>
      <c r="I41">
        <f>J63</f>
        <v>1154793600556.2651</v>
      </c>
    </row>
    <row r="42" spans="1:19" x14ac:dyDescent="0.2">
      <c r="A42" s="26">
        <v>7.0050000000000001E-2</v>
      </c>
      <c r="B42" s="25">
        <v>351481170000</v>
      </c>
      <c r="C42" s="29">
        <f>k1_v*ВТБ_1[[#This Row],[Втб ао цена]]+k0_v</f>
        <v>415071622623.61182</v>
      </c>
      <c r="D42" s="25">
        <f>ВТБ_1[[#This Row],[Втб ао объем]]-ВТБ_1[[#This Row],[h=k1*x+k0]]</f>
        <v>-63590452623.611816</v>
      </c>
      <c r="E42" s="25">
        <f>ВТБ_1[[#This Row],[y-h]]^2</f>
        <v>4.0437456648758189E+21</v>
      </c>
      <c r="F42" s="26">
        <f>ВТБ_1[[#This Row],[Втб ао цена]]^2</f>
        <v>4.9070025000000003E-3</v>
      </c>
      <c r="G42" s="25">
        <f>ВТБ_1[[#This Row],[Втб ао цена]]*ВТБ_1[[#This Row],[Втб ао объем]]</f>
        <v>24621255958.5</v>
      </c>
    </row>
    <row r="43" spans="1:19" x14ac:dyDescent="0.2">
      <c r="A43" s="26">
        <v>6.8400000000000002E-2</v>
      </c>
      <c r="B43" s="25">
        <v>274461660000</v>
      </c>
      <c r="C43" s="29">
        <f>k1_v*ВТБ_1[[#This Row],[Втб ао цена]]+k0_v</f>
        <v>432495480776.20105</v>
      </c>
      <c r="D43" s="25">
        <f>ВТБ_1[[#This Row],[Втб ао объем]]-ВТБ_1[[#This Row],[h=k1*x+k0]]</f>
        <v>-158033820776.20105</v>
      </c>
      <c r="E43" s="25">
        <f>ВТБ_1[[#This Row],[y-h]]^2</f>
        <v>2.4974688509124434E+22</v>
      </c>
      <c r="F43" s="26">
        <f>ВТБ_1[[#This Row],[Втб ао цена]]^2</f>
        <v>4.67856E-3</v>
      </c>
      <c r="G43" s="25">
        <f>ВТБ_1[[#This Row],[Втб ао цена]]*ВТБ_1[[#This Row],[Втб ао объем]]</f>
        <v>18773177544</v>
      </c>
    </row>
    <row r="44" spans="1:19" x14ac:dyDescent="0.2">
      <c r="A44" s="26">
        <v>6.8000000000000005E-2</v>
      </c>
      <c r="B44" s="25">
        <v>282574220000</v>
      </c>
      <c r="C44" s="29">
        <f>k1_v*ВТБ_1[[#This Row],[Втб ао цена]]+k0_v</f>
        <v>436719446388.94995</v>
      </c>
      <c r="D44" s="25">
        <f>ВТБ_1[[#This Row],[Втб ао объем]]-ВТБ_1[[#This Row],[h=k1*x+k0]]</f>
        <v>-154145226388.94995</v>
      </c>
      <c r="E44" s="25">
        <f>ВТБ_1[[#This Row],[y-h]]^2</f>
        <v>2.3760750818500633E+22</v>
      </c>
      <c r="F44" s="26">
        <f>ВТБ_1[[#This Row],[Втб ао цена]]^2</f>
        <v>4.6240000000000005E-3</v>
      </c>
      <c r="G44" s="25">
        <f>ВТБ_1[[#This Row],[Втб ао цена]]*ВТБ_1[[#This Row],[Втб ао объем]]</f>
        <v>19215046960</v>
      </c>
    </row>
    <row r="45" spans="1:19" x14ac:dyDescent="0.2">
      <c r="A45" s="26">
        <v>6.7409999999999998E-2</v>
      </c>
      <c r="B45" s="25">
        <v>152728630000</v>
      </c>
      <c r="C45" s="29">
        <f>k1_v*ВТБ_1[[#This Row],[Втб ао цена]]+k0_v</f>
        <v>442949795667.75464</v>
      </c>
      <c r="D45" s="25">
        <f>ВТБ_1[[#This Row],[Втб ао объем]]-ВТБ_1[[#This Row],[h=k1*x+k0]]</f>
        <v>-290221165667.75464</v>
      </c>
      <c r="E45" s="25">
        <f>ВТБ_1[[#This Row],[y-h]]^2</f>
        <v>8.4228325001550289E+22</v>
      </c>
      <c r="F45" s="26">
        <f>ВТБ_1[[#This Row],[Втб ао цена]]^2</f>
        <v>4.5441080999999994E-3</v>
      </c>
      <c r="G45" s="25">
        <f>ВТБ_1[[#This Row],[Втб ао цена]]*ВТБ_1[[#This Row],[Втб ао объем]]</f>
        <v>10295436948.299999</v>
      </c>
    </row>
    <row r="46" spans="1:19" x14ac:dyDescent="0.2">
      <c r="A46" s="26">
        <v>6.8489999999999995E-2</v>
      </c>
      <c r="B46" s="25">
        <v>225458160000</v>
      </c>
      <c r="C46" s="29">
        <f>k1_v*ВТБ_1[[#This Row],[Втб ао цена]]+k0_v</f>
        <v>431545088513.33264</v>
      </c>
      <c r="D46" s="25">
        <f>ВТБ_1[[#This Row],[Втб ао объем]]-ВТБ_1[[#This Row],[h=k1*x+k0]]</f>
        <v>-206086928513.33264</v>
      </c>
      <c r="E46" s="25">
        <f>ВТБ_1[[#This Row],[y-h]]^2</f>
        <v>4.2471822104059481E+22</v>
      </c>
      <c r="F46" s="26">
        <f>ВТБ_1[[#This Row],[Втб ао цена]]^2</f>
        <v>4.6908800999999993E-3</v>
      </c>
      <c r="G46" s="25">
        <f>ВТБ_1[[#This Row],[Втб ао цена]]*ВТБ_1[[#This Row],[Втб ао объем]]</f>
        <v>15441629378.4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A47" s="26">
        <v>7.2099999999999997E-2</v>
      </c>
      <c r="B47" s="25">
        <v>360228510000</v>
      </c>
      <c r="C47" s="29">
        <f>k1_v*ВТБ_1[[#This Row],[Втб ао цена]]+k0_v</f>
        <v>393423798858.27368</v>
      </c>
      <c r="D47" s="25">
        <f>ВТБ_1[[#This Row],[Втб ао объем]]-ВТБ_1[[#This Row],[h=k1*x+k0]]</f>
        <v>-33195288858.273682</v>
      </c>
      <c r="E47" s="25">
        <f>ВТБ_1[[#This Row],[y-h]]^2</f>
        <v>1.1019272023842288E+21</v>
      </c>
      <c r="F47" s="26">
        <f>ВТБ_1[[#This Row],[Втб ао цена]]^2</f>
        <v>5.1984099999999997E-3</v>
      </c>
      <c r="G47" s="25">
        <f>ВТБ_1[[#This Row],[Втб ао цена]]*ВТБ_1[[#This Row],[Втб ао объем]]</f>
        <v>25972475571</v>
      </c>
      <c r="H47" s="6"/>
      <c r="I47" t="s">
        <v>12</v>
      </c>
      <c r="R47" s="6"/>
      <c r="S47" s="6"/>
    </row>
    <row r="48" spans="1:19" ht="17" thickBot="1" x14ac:dyDescent="0.25">
      <c r="A48" s="26">
        <v>6.7750000000000005E-2</v>
      </c>
      <c r="B48" s="25">
        <v>159481010000</v>
      </c>
      <c r="C48" s="29">
        <f>k1_v*ВТБ_1[[#This Row],[Втб ао цена]]+k0_v</f>
        <v>439359424896.91809</v>
      </c>
      <c r="D48" s="25">
        <f>ВТБ_1[[#This Row],[Втб ао объем]]-ВТБ_1[[#This Row],[h=k1*x+k0]]</f>
        <v>-279878414896.91809</v>
      </c>
      <c r="E48" s="25">
        <f>ВТБ_1[[#This Row],[y-h]]^2</f>
        <v>7.8331927125211419E+22</v>
      </c>
      <c r="F48" s="26">
        <f>ВТБ_1[[#This Row],[Втб ао цена]]^2</f>
        <v>4.5900625000000004E-3</v>
      </c>
      <c r="G48" s="25">
        <f>ВТБ_1[[#This Row],[Втб ао цена]]*ВТБ_1[[#This Row],[Втб ао объем]]</f>
        <v>10804838427.5</v>
      </c>
      <c r="H48" s="6"/>
      <c r="R48" s="6"/>
      <c r="S48" s="6"/>
    </row>
    <row r="49" spans="1:19" x14ac:dyDescent="0.2">
      <c r="A49" s="26">
        <v>6.9400000000000003E-2</v>
      </c>
      <c r="B49" s="25">
        <v>234598360000</v>
      </c>
      <c r="C49" s="29">
        <f>k1_v*ВТБ_1[[#This Row],[Втб ао цена]]+k0_v</f>
        <v>421935566744.32874</v>
      </c>
      <c r="D49" s="25">
        <f>ВТБ_1[[#This Row],[Втб ао объем]]-ВТБ_1[[#This Row],[h=k1*x+k0]]</f>
        <v>-187337206744.32874</v>
      </c>
      <c r="E49" s="25">
        <f>ВТБ_1[[#This Row],[y-h]]^2</f>
        <v>3.5095229030767367E+22</v>
      </c>
      <c r="F49" s="26">
        <f>ВТБ_1[[#This Row],[Втб ао цена]]^2</f>
        <v>4.8163600000000004E-3</v>
      </c>
      <c r="G49" s="25">
        <f>ВТБ_1[[#This Row],[Втб ао цена]]*ВТБ_1[[#This Row],[Втб ао объем]]</f>
        <v>16281126184</v>
      </c>
      <c r="H49" s="6"/>
      <c r="I49" s="11" t="s">
        <v>13</v>
      </c>
      <c r="J49" s="11"/>
      <c r="R49" s="6"/>
      <c r="S49" s="6"/>
    </row>
    <row r="50" spans="1:19" x14ac:dyDescent="0.2">
      <c r="A50" s="26">
        <v>7.3999999999999996E-2</v>
      </c>
      <c r="B50" s="25">
        <v>553056090000</v>
      </c>
      <c r="C50" s="29">
        <f>k1_v*ВТБ_1[[#This Row],[Втб ао цена]]+k0_v</f>
        <v>373359962197.71631</v>
      </c>
      <c r="D50" s="25">
        <f>ВТБ_1[[#This Row],[Втб ао объем]]-ВТБ_1[[#This Row],[h=k1*x+k0]]</f>
        <v>179696127802.28369</v>
      </c>
      <c r="E50" s="25">
        <f>ВТБ_1[[#This Row],[y-h]]^2</f>
        <v>3.2290698347134675E+22</v>
      </c>
      <c r="F50" s="26">
        <f>ВТБ_1[[#This Row],[Втб ао цена]]^2</f>
        <v>5.4759999999999991E-3</v>
      </c>
      <c r="G50" s="25">
        <f>ВТБ_1[[#This Row],[Втб ао цена]]*ВТБ_1[[#This Row],[Втб ао объем]]</f>
        <v>40926150660</v>
      </c>
      <c r="H50" s="6"/>
      <c r="I50" s="8" t="s">
        <v>14</v>
      </c>
      <c r="J50" s="8">
        <v>0.37840417474659732</v>
      </c>
      <c r="R50" s="6"/>
      <c r="S50" s="6"/>
    </row>
    <row r="51" spans="1:19" x14ac:dyDescent="0.2">
      <c r="A51" s="26">
        <v>6.8970000000000004E-2</v>
      </c>
      <c r="B51" s="25">
        <v>300093660000</v>
      </c>
      <c r="C51" s="29">
        <f>k1_v*ВТБ_1[[#This Row],[Втб ао цена]]+k0_v</f>
        <v>426476329778.03381</v>
      </c>
      <c r="D51" s="25">
        <f>ВТБ_1[[#This Row],[Втб ао объем]]-ВТБ_1[[#This Row],[h=k1*x+k0]]</f>
        <v>-126382669778.03381</v>
      </c>
      <c r="E51" s="25">
        <f>ВТБ_1[[#This Row],[y-h]]^2</f>
        <v>1.5972579220223542E+22</v>
      </c>
      <c r="F51" s="26">
        <f>ВТБ_1[[#This Row],[Втб ао цена]]^2</f>
        <v>4.7568609000000006E-3</v>
      </c>
      <c r="G51" s="25">
        <f>ВТБ_1[[#This Row],[Втб ао цена]]*ВТБ_1[[#This Row],[Втб ао объем]]</f>
        <v>20697459730.200001</v>
      </c>
      <c r="H51" s="6"/>
      <c r="I51" s="8" t="s">
        <v>15</v>
      </c>
      <c r="J51" s="8">
        <v>0.14318971946565337</v>
      </c>
      <c r="R51" s="6"/>
      <c r="S51" s="6"/>
    </row>
    <row r="52" spans="1:19" x14ac:dyDescent="0.2">
      <c r="A52" s="26">
        <v>6.608E-2</v>
      </c>
      <c r="B52" s="25">
        <v>136916720000</v>
      </c>
      <c r="C52" s="29">
        <f>k1_v*ВТБ_1[[#This Row],[Втб ао цена]]+k0_v</f>
        <v>456994481330.14478</v>
      </c>
      <c r="D52" s="25">
        <f>ВТБ_1[[#This Row],[Втб ао объем]]-ВТБ_1[[#This Row],[h=k1*x+k0]]</f>
        <v>-320077761330.14478</v>
      </c>
      <c r="E52" s="25">
        <f>ВТБ_1[[#This Row],[y-h]]^2</f>
        <v>1.0244977329811713E+23</v>
      </c>
      <c r="F52" s="26">
        <f>ВТБ_1[[#This Row],[Втб ао цена]]^2</f>
        <v>4.3665663999999998E-3</v>
      </c>
      <c r="G52" s="25">
        <f>ВТБ_1[[#This Row],[Втб ао цена]]*ВТБ_1[[#This Row],[Втб ао объем]]</f>
        <v>9047456857.6000004</v>
      </c>
      <c r="H52" s="6"/>
      <c r="I52" s="8" t="s">
        <v>16</v>
      </c>
      <c r="J52" s="8">
        <v>0.13377422187736385</v>
      </c>
      <c r="R52" s="6"/>
      <c r="S52" s="6"/>
    </row>
    <row r="53" spans="1:19" x14ac:dyDescent="0.2">
      <c r="A53" s="26">
        <v>6.6250000000000003E-2</v>
      </c>
      <c r="B53" s="25">
        <v>266410390000</v>
      </c>
      <c r="C53" s="29">
        <f>k1_v*ВТБ_1[[#This Row],[Втб ао цена]]+k0_v</f>
        <v>455199295944.72644</v>
      </c>
      <c r="D53" s="25">
        <f>ВТБ_1[[#This Row],[Втб ао объем]]-ВТБ_1[[#This Row],[h=k1*x+k0]]</f>
        <v>-188788905944.72644</v>
      </c>
      <c r="E53" s="25">
        <f>ВТБ_1[[#This Row],[y-h]]^2</f>
        <v>3.5641251007806768E+22</v>
      </c>
      <c r="F53" s="26">
        <f>ВТБ_1[[#This Row],[Втб ао цена]]^2</f>
        <v>4.3890625000000006E-3</v>
      </c>
      <c r="G53" s="25">
        <f>ВТБ_1[[#This Row],[Втб ао цена]]*ВТБ_1[[#This Row],[Втб ао объем]]</f>
        <v>17649688337.5</v>
      </c>
      <c r="H53" s="6"/>
      <c r="I53" s="8" t="s">
        <v>17</v>
      </c>
      <c r="J53" s="8">
        <v>356226176461.3667</v>
      </c>
      <c r="R53" s="6"/>
      <c r="S53" s="6"/>
    </row>
    <row r="54" spans="1:19" ht="17" thickBot="1" x14ac:dyDescent="0.25">
      <c r="A54" s="26">
        <v>6.6710000000000005E-2</v>
      </c>
      <c r="B54" s="25">
        <v>207910220000</v>
      </c>
      <c r="C54" s="29">
        <f>k1_v*ВТБ_1[[#This Row],[Втб ао цена]]+k0_v</f>
        <v>450341735490.06519</v>
      </c>
      <c r="D54" s="25">
        <f>ВТБ_1[[#This Row],[Втб ао объем]]-ВТБ_1[[#This Row],[h=k1*x+k0]]</f>
        <v>-242431515490.06519</v>
      </c>
      <c r="E54" s="25">
        <f>ВТБ_1[[#This Row],[y-h]]^2</f>
        <v>5.8773039702809718E+22</v>
      </c>
      <c r="F54" s="26">
        <f>ВТБ_1[[#This Row],[Втб ао цена]]^2</f>
        <v>4.4502241000000005E-3</v>
      </c>
      <c r="G54" s="25">
        <f>ВТБ_1[[#This Row],[Втб ао цена]]*ВТБ_1[[#This Row],[Втб ао объем]]</f>
        <v>13869690776.200001</v>
      </c>
      <c r="H54" s="6"/>
      <c r="I54" s="9" t="s">
        <v>18</v>
      </c>
      <c r="J54" s="9">
        <v>93</v>
      </c>
      <c r="R54" s="6"/>
      <c r="S54" s="6"/>
    </row>
    <row r="55" spans="1:19" x14ac:dyDescent="0.2">
      <c r="A55" s="26">
        <v>6.615E-2</v>
      </c>
      <c r="B55" s="25">
        <v>168505230000</v>
      </c>
      <c r="C55" s="29">
        <f>k1_v*ВТБ_1[[#This Row],[Втб ао цена]]+k0_v</f>
        <v>456255287347.9137</v>
      </c>
      <c r="D55" s="25">
        <f>ВТБ_1[[#This Row],[Втб ао объем]]-ВТБ_1[[#This Row],[h=k1*x+k0]]</f>
        <v>-287750057347.9137</v>
      </c>
      <c r="E55" s="25">
        <f>ВТБ_1[[#This Row],[y-h]]^2</f>
        <v>8.2800095503727616E+22</v>
      </c>
      <c r="F55" s="26">
        <f>ВТБ_1[[#This Row],[Втб ао цена]]^2</f>
        <v>4.3758225000000003E-3</v>
      </c>
      <c r="G55" s="25">
        <f>ВТБ_1[[#This Row],[Втб ао цена]]*ВТБ_1[[#This Row],[Втб ао объем]]</f>
        <v>11146620964.5</v>
      </c>
      <c r="H55" s="6"/>
      <c r="R55" s="6"/>
      <c r="S55" s="6"/>
    </row>
    <row r="56" spans="1:19" ht="17" thickBot="1" x14ac:dyDescent="0.25">
      <c r="A56" s="26">
        <v>6.4000000000000001E-2</v>
      </c>
      <c r="B56" s="25">
        <v>252186300000</v>
      </c>
      <c r="C56" s="29">
        <f>k1_v*ВТБ_1[[#This Row],[Втб ао цена]]+k0_v</f>
        <v>478959102516.43909</v>
      </c>
      <c r="D56" s="25">
        <f>ВТБ_1[[#This Row],[Втб ао объем]]-ВТБ_1[[#This Row],[h=k1*x+k0]]</f>
        <v>-226772802516.43909</v>
      </c>
      <c r="E56" s="25">
        <f>ВТБ_1[[#This Row],[y-h]]^2</f>
        <v>5.1425903961159884E+22</v>
      </c>
      <c r="F56" s="26">
        <f>ВТБ_1[[#This Row],[Втб ао цена]]^2</f>
        <v>4.0959999999999998E-3</v>
      </c>
      <c r="G56" s="25">
        <f>ВТБ_1[[#This Row],[Втб ао цена]]*ВТБ_1[[#This Row],[Втб ао объем]]</f>
        <v>16139923200</v>
      </c>
      <c r="H56" s="6"/>
      <c r="I56" t="s">
        <v>19</v>
      </c>
      <c r="R56" s="6"/>
      <c r="S56" s="6"/>
    </row>
    <row r="57" spans="1:19" x14ac:dyDescent="0.2">
      <c r="A57" s="26">
        <v>5.969E-2</v>
      </c>
      <c r="B57" s="25">
        <v>179099730000</v>
      </c>
      <c r="C57" s="29">
        <f>k1_v*ВТБ_1[[#This Row],[Втб ао цена]]+k0_v</f>
        <v>524472331993.80872</v>
      </c>
      <c r="D57" s="25">
        <f>ВТБ_1[[#This Row],[Втб ао объем]]-ВТБ_1[[#This Row],[h=k1*x+k0]]</f>
        <v>-345372601993.80872</v>
      </c>
      <c r="E57" s="25">
        <f>ВТБ_1[[#This Row],[y-h]]^2</f>
        <v>1.1928223420797381E+23</v>
      </c>
      <c r="F57" s="26">
        <f>ВТБ_1[[#This Row],[Втб ао цена]]^2</f>
        <v>3.5628960999999999E-3</v>
      </c>
      <c r="G57" s="25">
        <f>ВТБ_1[[#This Row],[Втб ао цена]]*ВТБ_1[[#This Row],[Втб ао объем]]</f>
        <v>10690462883.700001</v>
      </c>
      <c r="H57" s="6"/>
      <c r="I57" s="10"/>
      <c r="J57" s="10" t="s">
        <v>24</v>
      </c>
      <c r="K57" s="10" t="s">
        <v>25</v>
      </c>
      <c r="L57" s="10" t="s">
        <v>26</v>
      </c>
      <c r="M57" s="10" t="s">
        <v>27</v>
      </c>
      <c r="N57" s="10" t="s">
        <v>28</v>
      </c>
      <c r="R57" s="6"/>
      <c r="S57" s="6"/>
    </row>
    <row r="58" spans="1:19" x14ac:dyDescent="0.2">
      <c r="A58" s="26">
        <v>6.4560000000000006E-2</v>
      </c>
      <c r="B58" s="25">
        <v>204739850000</v>
      </c>
      <c r="C58" s="29">
        <f>k1_v*ВТБ_1[[#This Row],[Втб ао цена]]+k0_v</f>
        <v>473045550658.59058</v>
      </c>
      <c r="D58" s="25">
        <f>ВТБ_1[[#This Row],[Втб ао объем]]-ВТБ_1[[#This Row],[h=k1*x+k0]]</f>
        <v>-268305700658.59058</v>
      </c>
      <c r="E58" s="25">
        <f>ВТБ_1[[#This Row],[y-h]]^2</f>
        <v>7.1987949005897212E+22</v>
      </c>
      <c r="F58" s="26">
        <f>ВТБ_1[[#This Row],[Втб ао цена]]^2</f>
        <v>4.1679936000000011E-3</v>
      </c>
      <c r="G58" s="25">
        <f>ВТБ_1[[#This Row],[Втб ао цена]]*ВТБ_1[[#This Row],[Втб ао объем]]</f>
        <v>13218004716.000002</v>
      </c>
      <c r="H58" s="6"/>
      <c r="I58" s="8" t="s">
        <v>20</v>
      </c>
      <c r="J58" s="8">
        <v>1</v>
      </c>
      <c r="K58" s="8">
        <v>1.9298351866551813E+24</v>
      </c>
      <c r="L58" s="8">
        <v>1.9298351866551813E+24</v>
      </c>
      <c r="M58" s="8">
        <v>15.207875964382897</v>
      </c>
      <c r="N58" s="8">
        <v>1.8408231159666114E-4</v>
      </c>
      <c r="R58" s="6"/>
      <c r="S58" s="6"/>
    </row>
    <row r="59" spans="1:19" x14ac:dyDescent="0.2">
      <c r="A59" s="26">
        <v>6.1589999999999999E-2</v>
      </c>
      <c r="B59" s="25">
        <v>293417410000</v>
      </c>
      <c r="C59" s="29">
        <f>k1_v*ВТБ_1[[#This Row],[Втб ао цена]]+k0_v</f>
        <v>504408495333.25134</v>
      </c>
      <c r="D59" s="25">
        <f>ВТБ_1[[#This Row],[Втб ао объем]]-ВТБ_1[[#This Row],[h=k1*x+k0]]</f>
        <v>-210991085333.25134</v>
      </c>
      <c r="E59" s="25">
        <f>ВТБ_1[[#This Row],[y-h]]^2</f>
        <v>4.4517238090103347E+22</v>
      </c>
      <c r="F59" s="26">
        <f>ВТБ_1[[#This Row],[Втб ао цена]]^2</f>
        <v>3.7933280999999999E-3</v>
      </c>
      <c r="G59" s="25">
        <f>ВТБ_1[[#This Row],[Втб ао цена]]*ВТБ_1[[#This Row],[Втб ао объем]]</f>
        <v>18071578281.900002</v>
      </c>
      <c r="H59" s="6"/>
      <c r="I59" s="8" t="s">
        <v>21</v>
      </c>
      <c r="J59" s="8">
        <v>91</v>
      </c>
      <c r="K59" s="8">
        <v>1.1547635080461914E+25</v>
      </c>
      <c r="L59" s="8">
        <v>1.2689708879628477E+23</v>
      </c>
      <c r="M59" s="8"/>
      <c r="N59" s="8"/>
      <c r="R59" s="6"/>
      <c r="S59" s="6"/>
    </row>
    <row r="60" spans="1:19" ht="17" thickBot="1" x14ac:dyDescent="0.25">
      <c r="A60" s="26">
        <v>0.06</v>
      </c>
      <c r="B60" s="25">
        <v>165599290000</v>
      </c>
      <c r="C60" s="29">
        <f>k1_v*ВТБ_1[[#This Row],[Втб ао цена]]+k0_v</f>
        <v>521198758643.92834</v>
      </c>
      <c r="D60" s="25">
        <f>ВТБ_1[[#This Row],[Втб ао объем]]-ВТБ_1[[#This Row],[h=k1*x+k0]]</f>
        <v>-355599468643.92834</v>
      </c>
      <c r="E60" s="25">
        <f>ВТБ_1[[#This Row],[y-h]]^2</f>
        <v>1.2645098209984418E+23</v>
      </c>
      <c r="F60" s="26">
        <f>ВТБ_1[[#This Row],[Втб ао цена]]^2</f>
        <v>3.5999999999999999E-3</v>
      </c>
      <c r="G60" s="25">
        <f>ВТБ_1[[#This Row],[Втб ао цена]]*ВТБ_1[[#This Row],[Втб ао объем]]</f>
        <v>9935957400</v>
      </c>
      <c r="H60" s="6"/>
      <c r="I60" s="9" t="s">
        <v>22</v>
      </c>
      <c r="J60" s="9">
        <v>92</v>
      </c>
      <c r="K60" s="9">
        <v>1.3477470267117095E+25</v>
      </c>
      <c r="L60" s="9"/>
      <c r="M60" s="9"/>
      <c r="N60" s="9"/>
      <c r="R60" s="6"/>
      <c r="S60" s="6"/>
    </row>
    <row r="61" spans="1:19" ht="17" thickBot="1" x14ac:dyDescent="0.25">
      <c r="A61" s="26">
        <v>5.0779999999999999E-2</v>
      </c>
      <c r="B61" s="25">
        <v>433842240000</v>
      </c>
      <c r="C61" s="29">
        <f>k1_v*ВТБ_1[[#This Row],[Втб ао цена]]+k0_v</f>
        <v>618561166017.79077</v>
      </c>
      <c r="D61" s="25">
        <f>ВТБ_1[[#This Row],[Втб ао объем]]-ВТБ_1[[#This Row],[h=k1*x+k0]]</f>
        <v>-184718926017.79077</v>
      </c>
      <c r="E61" s="25">
        <f>ВТБ_1[[#This Row],[y-h]]^2</f>
        <v>3.4121081629166059E+22</v>
      </c>
      <c r="F61" s="26">
        <f>ВТБ_1[[#This Row],[Втб ао цена]]^2</f>
        <v>2.5786083999999997E-3</v>
      </c>
      <c r="G61" s="25">
        <f>ВТБ_1[[#This Row],[Втб ао цена]]*ВТБ_1[[#This Row],[Втб ао объем]]</f>
        <v>22030508947.200001</v>
      </c>
      <c r="H61" s="6"/>
      <c r="R61" s="6"/>
      <c r="S61" s="6"/>
    </row>
    <row r="62" spans="1:19" x14ac:dyDescent="0.2">
      <c r="A62" s="26">
        <v>4.7320000000000001E-2</v>
      </c>
      <c r="B62" s="25">
        <v>419332310000</v>
      </c>
      <c r="C62" s="29">
        <f>k1_v*ВТБ_1[[#This Row],[Втб ао цена]]+k0_v</f>
        <v>655098468568.06885</v>
      </c>
      <c r="D62" s="25">
        <f>ВТБ_1[[#This Row],[Втб ао объем]]-ВТБ_1[[#This Row],[h=k1*x+k0]]</f>
        <v>-235766158568.06885</v>
      </c>
      <c r="E62" s="25">
        <f>ВТБ_1[[#This Row],[y-h]]^2</f>
        <v>5.5585681525943787E+22</v>
      </c>
      <c r="F62" s="26">
        <f>ВТБ_1[[#This Row],[Втб ао цена]]^2</f>
        <v>2.2391824000000003E-3</v>
      </c>
      <c r="G62" s="25">
        <f>ВТБ_1[[#This Row],[Втб ао цена]]*ВТБ_1[[#This Row],[Втб ао объем]]</f>
        <v>19842804909.200001</v>
      </c>
      <c r="H62" s="6"/>
      <c r="I62" s="10"/>
      <c r="J62" s="10" t="s">
        <v>29</v>
      </c>
      <c r="K62" s="10" t="s">
        <v>17</v>
      </c>
      <c r="L62" s="10" t="s">
        <v>30</v>
      </c>
      <c r="M62" s="10" t="s">
        <v>31</v>
      </c>
      <c r="N62" s="10" t="s">
        <v>32</v>
      </c>
      <c r="O62" s="10" t="s">
        <v>33</v>
      </c>
      <c r="P62" s="10" t="s">
        <v>34</v>
      </c>
      <c r="Q62" s="10" t="s">
        <v>35</v>
      </c>
      <c r="R62" s="6"/>
      <c r="S62" s="6"/>
    </row>
    <row r="63" spans="1:19" x14ac:dyDescent="0.2">
      <c r="A63" s="26">
        <v>4.9399999999999999E-2</v>
      </c>
      <c r="B63" s="25">
        <v>352127560000</v>
      </c>
      <c r="C63" s="29">
        <f>k1_v*ВТБ_1[[#This Row],[Втб ао цена]]+k0_v</f>
        <v>633133847381.77441</v>
      </c>
      <c r="D63" s="25">
        <f>ВТБ_1[[#This Row],[Втб ао объем]]-ВТБ_1[[#This Row],[h=k1*x+k0]]</f>
        <v>-281006287381.77441</v>
      </c>
      <c r="E63" s="25">
        <f>ВТБ_1[[#This Row],[y-h]]^2</f>
        <v>7.8964533548088384E+22</v>
      </c>
      <c r="F63" s="26">
        <f>ВТБ_1[[#This Row],[Втб ао цена]]^2</f>
        <v>2.4403599999999999E-3</v>
      </c>
      <c r="G63" s="25">
        <f>ВТБ_1[[#This Row],[Втб ао цена]]*ВТБ_1[[#This Row],[Втб ао объем]]</f>
        <v>17395101464</v>
      </c>
      <c r="H63" s="6"/>
      <c r="I63" s="8" t="s">
        <v>23</v>
      </c>
      <c r="J63" s="8">
        <v>1154793600556.2651</v>
      </c>
      <c r="K63" s="8">
        <v>148155161491.34708</v>
      </c>
      <c r="L63" s="8">
        <v>7.7944878121827044</v>
      </c>
      <c r="M63" s="8">
        <v>1.0180549958162381E-11</v>
      </c>
      <c r="N63" s="8">
        <v>860501572460.65198</v>
      </c>
      <c r="O63" s="8">
        <v>1449085628651.8784</v>
      </c>
      <c r="P63" s="8">
        <v>860501572460.65198</v>
      </c>
      <c r="Q63" s="8">
        <v>1449085628651.8784</v>
      </c>
      <c r="R63" s="6"/>
      <c r="S63" s="6"/>
    </row>
    <row r="64" spans="1:19" ht="17" thickBot="1" x14ac:dyDescent="0.25">
      <c r="A64" s="26">
        <v>5.2760000000000001E-2</v>
      </c>
      <c r="B64" s="25">
        <v>578729040000</v>
      </c>
      <c r="C64" s="29">
        <f>k1_v*ВТБ_1[[#This Row],[Втб ао цена]]+k0_v</f>
        <v>597652536234.68359</v>
      </c>
      <c r="D64" s="25">
        <f>ВТБ_1[[#This Row],[Втб ао объем]]-ВТБ_1[[#This Row],[h=k1*x+k0]]</f>
        <v>-18923496234.683594</v>
      </c>
      <c r="E64" s="25">
        <f>ВТБ_1[[#This Row],[y-h]]^2</f>
        <v>3.5809870974408412E+20</v>
      </c>
      <c r="F64" s="26">
        <f>ВТБ_1[[#This Row],[Втб ао цена]]^2</f>
        <v>2.7836176000000002E-3</v>
      </c>
      <c r="G64" s="25">
        <f>ВТБ_1[[#This Row],[Втб ао цена]]*ВТБ_1[[#This Row],[Втб ао объем]]</f>
        <v>30533744150.400002</v>
      </c>
      <c r="H64" s="6"/>
      <c r="I64" s="9" t="s">
        <v>36</v>
      </c>
      <c r="J64" s="9">
        <v>-10559914031871.902</v>
      </c>
      <c r="K64" s="9">
        <v>2707859343823.334</v>
      </c>
      <c r="L64" s="9">
        <v>-3.8997276782338113</v>
      </c>
      <c r="M64" s="9">
        <v>1.8408231159666355E-4</v>
      </c>
      <c r="N64" s="9">
        <v>-15938743969821.568</v>
      </c>
      <c r="O64" s="9">
        <v>-5181084093922.2363</v>
      </c>
      <c r="P64" s="9">
        <v>-15938743969821.568</v>
      </c>
      <c r="Q64" s="9">
        <v>-5181084093922.2363</v>
      </c>
      <c r="R64" s="6"/>
      <c r="S64" s="6"/>
    </row>
    <row r="65" spans="1:19" x14ac:dyDescent="0.2">
      <c r="A65" s="26">
        <v>5.1659999999999998E-2</v>
      </c>
      <c r="B65" s="25">
        <v>530212820000</v>
      </c>
      <c r="C65" s="29">
        <f>k1_v*ВТБ_1[[#This Row],[Втб ао цена]]+k0_v</f>
        <v>609268441669.74316</v>
      </c>
      <c r="D65" s="25">
        <f>ВТБ_1[[#This Row],[Втб ао объем]]-ВТБ_1[[#This Row],[h=k1*x+k0]]</f>
        <v>-79055621669.743164</v>
      </c>
      <c r="E65" s="25">
        <f>ВТБ_1[[#This Row],[y-h]]^2</f>
        <v>6.2497913175895651E+21</v>
      </c>
      <c r="F65" s="26">
        <f>ВТБ_1[[#This Row],[Втб ао цена]]^2</f>
        <v>2.6687555999999999E-3</v>
      </c>
      <c r="G65" s="25">
        <f>ВТБ_1[[#This Row],[Втб ао цена]]*ВТБ_1[[#This Row],[Втб ао объем]]</f>
        <v>27390794281.199997</v>
      </c>
      <c r="H65" s="6"/>
      <c r="R65" s="6"/>
      <c r="S65" s="6"/>
    </row>
    <row r="66" spans="1:19" x14ac:dyDescent="0.2">
      <c r="A66" s="26">
        <v>5.3969999999999997E-2</v>
      </c>
      <c r="B66" s="25">
        <v>754922430000</v>
      </c>
      <c r="C66" s="29">
        <f>k1_v*ВТБ_1[[#This Row],[Втб ао цена]]+k0_v</f>
        <v>584875040256.11816</v>
      </c>
      <c r="D66" s="25">
        <f>ВТБ_1[[#This Row],[Втб ао объем]]-ВТБ_1[[#This Row],[h=k1*x+k0]]</f>
        <v>170047389743.88184</v>
      </c>
      <c r="E66" s="25">
        <f>ВТБ_1[[#This Row],[y-h]]^2</f>
        <v>2.8916114758707651E+22</v>
      </c>
      <c r="F66" s="26">
        <f>ВТБ_1[[#This Row],[Втб ао цена]]^2</f>
        <v>2.9127608999999998E-3</v>
      </c>
      <c r="G66" s="25">
        <f>ВТБ_1[[#This Row],[Втб ао цена]]*ВТБ_1[[#This Row],[Втб ао объем]]</f>
        <v>40743163547.099998</v>
      </c>
      <c r="H66" s="6"/>
      <c r="R66" s="6"/>
      <c r="S66" s="6"/>
    </row>
    <row r="67" spans="1:19" x14ac:dyDescent="0.2">
      <c r="A67" s="26">
        <v>4.9889999999999997E-2</v>
      </c>
      <c r="B67" s="25">
        <v>502179250000</v>
      </c>
      <c r="C67" s="29">
        <f>k1_v*ВТБ_1[[#This Row],[Втб ао цена]]+k0_v</f>
        <v>627959489506.15698</v>
      </c>
      <c r="D67" s="25">
        <f>ВТБ_1[[#This Row],[Втб ао объем]]-ВТБ_1[[#This Row],[h=k1*x+k0]]</f>
        <v>-125780239506.15698</v>
      </c>
      <c r="E67" s="25">
        <f>ВТБ_1[[#This Row],[y-h]]^2</f>
        <v>1.5820668650226213E+22</v>
      </c>
      <c r="F67" s="26">
        <f>ВТБ_1[[#This Row],[Втб ао цена]]^2</f>
        <v>2.4890120999999997E-3</v>
      </c>
      <c r="G67" s="25">
        <f>ВТБ_1[[#This Row],[Втб ао цена]]*ВТБ_1[[#This Row],[Втб ао объем]]</f>
        <v>25053722782.5</v>
      </c>
      <c r="H67" s="6"/>
      <c r="R67" s="6"/>
      <c r="S67" s="6"/>
    </row>
    <row r="68" spans="1:19" x14ac:dyDescent="0.2">
      <c r="A68" s="26">
        <v>4.8009999999999997E-2</v>
      </c>
      <c r="B68" s="25">
        <v>543856810000</v>
      </c>
      <c r="C68" s="29">
        <f>k1_v*ВТБ_1[[#This Row],[Втб ао цена]]+k0_v</f>
        <v>647812127886.0769</v>
      </c>
      <c r="D68" s="25">
        <f>ВТБ_1[[#This Row],[Втб ао объем]]-ВТБ_1[[#This Row],[h=k1*x+k0]]</f>
        <v>-103955317886.0769</v>
      </c>
      <c r="E68" s="25">
        <f>ВТБ_1[[#This Row],[y-h]]^2</f>
        <v>1.0806708116795301E+22</v>
      </c>
      <c r="F68" s="26">
        <f>ВТБ_1[[#This Row],[Втб ао цена]]^2</f>
        <v>2.3049600999999996E-3</v>
      </c>
      <c r="G68" s="25">
        <f>ВТБ_1[[#This Row],[Втб ао цена]]*ВТБ_1[[#This Row],[Втб ао объем]]</f>
        <v>26110565448.099998</v>
      </c>
      <c r="H68" s="6"/>
      <c r="I68" t="s">
        <v>37</v>
      </c>
      <c r="N68" t="s">
        <v>42</v>
      </c>
      <c r="R68" s="6"/>
      <c r="S68" s="6"/>
    </row>
    <row r="69" spans="1:19" ht="17" thickBot="1" x14ac:dyDescent="0.25">
      <c r="A69" s="26">
        <v>4.8280000000000003E-2</v>
      </c>
      <c r="B69" s="25">
        <v>299820580000</v>
      </c>
      <c r="C69" s="29">
        <f>k1_v*ВТБ_1[[#This Row],[Втб ао цена]]+k0_v</f>
        <v>644960951097.47144</v>
      </c>
      <c r="D69" s="25">
        <f>ВТБ_1[[#This Row],[Втб ао объем]]-ВТБ_1[[#This Row],[h=k1*x+k0]]</f>
        <v>-345140371097.47144</v>
      </c>
      <c r="E69" s="25">
        <f>ВТБ_1[[#This Row],[y-h]]^2</f>
        <v>1.191218757613003E+23</v>
      </c>
      <c r="F69" s="26">
        <f>ВТБ_1[[#This Row],[Втб ао цена]]^2</f>
        <v>2.3309584000000003E-3</v>
      </c>
      <c r="G69" s="25">
        <f>ВТБ_1[[#This Row],[Втб ао цена]]*ВТБ_1[[#This Row],[Втб ао объем]]</f>
        <v>14475337602.400002</v>
      </c>
      <c r="H69" s="6"/>
      <c r="R69" s="6"/>
      <c r="S69" s="6"/>
    </row>
    <row r="70" spans="1:19" x14ac:dyDescent="0.2">
      <c r="A70" s="26">
        <v>4.1399999999999999E-2</v>
      </c>
      <c r="B70" s="25">
        <v>405720540000</v>
      </c>
      <c r="C70" s="29">
        <f>k1_v*ВТБ_1[[#This Row],[Втб ао цена]]+k0_v</f>
        <v>717613159636.75269</v>
      </c>
      <c r="D70" s="25">
        <f>ВТБ_1[[#This Row],[Втб ао объем]]-ВТБ_1[[#This Row],[h=k1*x+k0]]</f>
        <v>-311892619636.75269</v>
      </c>
      <c r="E70" s="25">
        <f>ВТБ_1[[#This Row],[y-h]]^2</f>
        <v>9.7277006183876081E+22</v>
      </c>
      <c r="F70" s="26">
        <f>ВТБ_1[[#This Row],[Втб ао цена]]^2</f>
        <v>1.71396E-3</v>
      </c>
      <c r="G70" s="25">
        <f>ВТБ_1[[#This Row],[Втб ао цена]]*ВТБ_1[[#This Row],[Втб ао объем]]</f>
        <v>16796830356</v>
      </c>
      <c r="H70" s="6"/>
      <c r="I70" s="10" t="s">
        <v>38</v>
      </c>
      <c r="J70" s="10" t="s">
        <v>39</v>
      </c>
      <c r="K70" s="10" t="s">
        <v>40</v>
      </c>
      <c r="L70" s="10" t="s">
        <v>41</v>
      </c>
      <c r="N70" s="10" t="s">
        <v>43</v>
      </c>
      <c r="O70" s="10" t="s">
        <v>44</v>
      </c>
      <c r="R70" s="6"/>
      <c r="S70" s="6"/>
    </row>
    <row r="71" spans="1:19" x14ac:dyDescent="0.2">
      <c r="A71" s="26">
        <v>4.0759999999999998E-2</v>
      </c>
      <c r="B71" s="25">
        <v>392395190000</v>
      </c>
      <c r="C71" s="29">
        <f>k1_v*ВТБ_1[[#This Row],[Втб ао цена]]+k0_v</f>
        <v>724371504617.151</v>
      </c>
      <c r="D71" s="25">
        <f>ВТБ_1[[#This Row],[Втб ао объем]]-ВТБ_1[[#This Row],[h=k1*x+k0]]</f>
        <v>-331976314617.151</v>
      </c>
      <c r="E71" s="25">
        <f>ВТБ_1[[#This Row],[y-h]]^2</f>
        <v>1.1020827346678562E+23</v>
      </c>
      <c r="F71" s="26">
        <f>ВТБ_1[[#This Row],[Втб ао цена]]^2</f>
        <v>1.6613775999999999E-3</v>
      </c>
      <c r="G71" s="25">
        <f>ВТБ_1[[#This Row],[Втб ао цена]]*ВТБ_1[[#This Row],[Втб ао объем]]</f>
        <v>15994027944.4</v>
      </c>
      <c r="H71" s="6"/>
      <c r="I71" s="8">
        <v>1</v>
      </c>
      <c r="J71" s="8">
        <v>588887807588.24988</v>
      </c>
      <c r="K71" s="8">
        <v>-165122747588.24988</v>
      </c>
      <c r="L71" s="8">
        <v>-0.46607337559807738</v>
      </c>
      <c r="N71" s="8">
        <v>0.5376344086021505</v>
      </c>
      <c r="O71" s="8">
        <v>136916720000</v>
      </c>
      <c r="R71" s="6"/>
      <c r="S71" s="6"/>
    </row>
    <row r="72" spans="1:19" x14ac:dyDescent="0.2">
      <c r="A72" s="26">
        <v>3.6580000000000001E-2</v>
      </c>
      <c r="B72" s="25">
        <v>437464790000</v>
      </c>
      <c r="C72" s="29">
        <f>k1_v*ВТБ_1[[#This Row],[Втб ао цена]]+k0_v</f>
        <v>768511945270.37708</v>
      </c>
      <c r="D72" s="25">
        <f>ВТБ_1[[#This Row],[Втб ао объем]]-ВТБ_1[[#This Row],[h=k1*x+k0]]</f>
        <v>-331047155270.37708</v>
      </c>
      <c r="E72" s="25">
        <f>ВТБ_1[[#This Row],[y-h]]^2</f>
        <v>1.0959221901260915E+23</v>
      </c>
      <c r="F72" s="26">
        <f>ВТБ_1[[#This Row],[Втб ао цена]]^2</f>
        <v>1.3380964000000001E-3</v>
      </c>
      <c r="G72" s="25">
        <f>ВТБ_1[[#This Row],[Втб ао цена]]*ВТБ_1[[#This Row],[Втб ао объем]]</f>
        <v>16002462018.200001</v>
      </c>
      <c r="H72" s="6"/>
      <c r="I72" s="8">
        <v>2</v>
      </c>
      <c r="J72" s="8">
        <v>565339199297.17554</v>
      </c>
      <c r="K72" s="8">
        <v>55320210702.824463</v>
      </c>
      <c r="L72" s="8">
        <v>0.15614612594356456</v>
      </c>
      <c r="N72" s="8">
        <v>1.6129032258064515</v>
      </c>
      <c r="O72" s="8">
        <v>152728630000</v>
      </c>
      <c r="R72" s="6"/>
      <c r="S72" s="6"/>
    </row>
    <row r="73" spans="1:19" x14ac:dyDescent="0.2">
      <c r="A73" s="26">
        <v>3.73E-2</v>
      </c>
      <c r="B73" s="25">
        <v>459010120000</v>
      </c>
      <c r="C73" s="29">
        <f>k1_v*ВТБ_1[[#This Row],[Втб ао цена]]+k0_v</f>
        <v>760908807167.42908</v>
      </c>
      <c r="D73" s="25">
        <f>ВТБ_1[[#This Row],[Втб ао объем]]-ВТБ_1[[#This Row],[h=k1*x+k0]]</f>
        <v>-301898687167.42908</v>
      </c>
      <c r="E73" s="25">
        <f>ВТБ_1[[#This Row],[y-h]]^2</f>
        <v>9.1142817313417205E+22</v>
      </c>
      <c r="F73" s="26">
        <f>ВТБ_1[[#This Row],[Втб ао цена]]^2</f>
        <v>1.3912899999999999E-3</v>
      </c>
      <c r="G73" s="25">
        <f>ВТБ_1[[#This Row],[Втб ао цена]]*ВТБ_1[[#This Row],[Втб ао объем]]</f>
        <v>17121077476</v>
      </c>
      <c r="H73" s="6"/>
      <c r="I73" s="8">
        <v>3</v>
      </c>
      <c r="J73" s="8">
        <v>564705604455.26318</v>
      </c>
      <c r="K73" s="8">
        <v>392030645544.73682</v>
      </c>
      <c r="L73" s="8">
        <v>1.1065407339426494</v>
      </c>
      <c r="N73" s="8">
        <v>2.6881720430107525</v>
      </c>
      <c r="O73" s="8">
        <v>159481010000</v>
      </c>
      <c r="R73" s="6"/>
      <c r="S73" s="6"/>
    </row>
    <row r="74" spans="1:19" x14ac:dyDescent="0.2">
      <c r="A74" s="26">
        <v>3.3849999999999998E-2</v>
      </c>
      <c r="B74" s="25">
        <v>337608430000</v>
      </c>
      <c r="C74" s="29">
        <f>k1_v*ВТБ_1[[#This Row],[Втб ао цена]]+k0_v</f>
        <v>797340510577.38843</v>
      </c>
      <c r="D74" s="25">
        <f>ВТБ_1[[#This Row],[Втб ао объем]]-ВТБ_1[[#This Row],[h=k1*x+k0]]</f>
        <v>-459732080577.38843</v>
      </c>
      <c r="E74" s="25">
        <f>ВТБ_1[[#This Row],[y-h]]^2</f>
        <v>2.1135358591201435E+23</v>
      </c>
      <c r="F74" s="26">
        <f>ВТБ_1[[#This Row],[Втб ао цена]]^2</f>
        <v>1.1458224999999999E-3</v>
      </c>
      <c r="G74" s="25">
        <f>ВТБ_1[[#This Row],[Втб ао цена]]*ВТБ_1[[#This Row],[Втб ао объем]]</f>
        <v>11428045355.5</v>
      </c>
      <c r="H74" s="6"/>
      <c r="I74" s="8">
        <v>4</v>
      </c>
      <c r="J74" s="8">
        <v>629965873172.23157</v>
      </c>
      <c r="K74" s="8">
        <v>54123966827.768433</v>
      </c>
      <c r="L74" s="8">
        <v>0.15276962313562822</v>
      </c>
      <c r="N74" s="8">
        <v>3.7634408602150535</v>
      </c>
      <c r="O74" s="8">
        <v>165599290000</v>
      </c>
      <c r="R74" s="6"/>
      <c r="S74" s="6"/>
    </row>
    <row r="75" spans="1:19" x14ac:dyDescent="0.2">
      <c r="A75" s="26">
        <v>3.7769999999999998E-2</v>
      </c>
      <c r="B75" s="25">
        <v>322917130000</v>
      </c>
      <c r="C75" s="29">
        <f>k1_v*ВТБ_1[[#This Row],[Втб ао цена]]+k0_v</f>
        <v>755945647572.4491</v>
      </c>
      <c r="D75" s="25">
        <f>ВТБ_1[[#This Row],[Втб ао объем]]-ВТБ_1[[#This Row],[h=k1*x+k0]]</f>
        <v>-433028517572.4491</v>
      </c>
      <c r="E75" s="25">
        <f>ВТБ_1[[#This Row],[y-h]]^2</f>
        <v>1.8751369703099284E+23</v>
      </c>
      <c r="F75" s="26">
        <f>ВТБ_1[[#This Row],[Втб ао цена]]^2</f>
        <v>1.4265729E-3</v>
      </c>
      <c r="G75" s="25">
        <f>ВТБ_1[[#This Row],[Втб ао цена]]*ВТБ_1[[#This Row],[Втб ао объем]]</f>
        <v>12196580000.099998</v>
      </c>
      <c r="H75" s="6"/>
      <c r="I75" s="8">
        <v>5</v>
      </c>
      <c r="J75" s="8">
        <v>634295437925.29907</v>
      </c>
      <c r="K75" s="8">
        <v>569292252074.70093</v>
      </c>
      <c r="L75" s="8">
        <v>1.6068770990167829</v>
      </c>
      <c r="N75" s="8">
        <v>4.8387096774193541</v>
      </c>
      <c r="O75" s="8">
        <v>168505230000</v>
      </c>
      <c r="R75" s="6"/>
      <c r="S75" s="6"/>
    </row>
    <row r="76" spans="1:19" x14ac:dyDescent="0.2">
      <c r="A76" s="26">
        <v>3.5900000000000001E-2</v>
      </c>
      <c r="B76" s="25">
        <v>286689820000</v>
      </c>
      <c r="C76" s="29">
        <f>k1_v*ВТБ_1[[#This Row],[Втб ао цена]]+k0_v</f>
        <v>775692686812.05029</v>
      </c>
      <c r="D76" s="25">
        <f>ВТБ_1[[#This Row],[Втб ао объем]]-ВТБ_1[[#This Row],[h=k1*x+k0]]</f>
        <v>-489002866812.05029</v>
      </c>
      <c r="E76" s="25">
        <f>ВТБ_1[[#This Row],[y-h]]^2</f>
        <v>2.3912380375040378E+23</v>
      </c>
      <c r="F76" s="26">
        <f>ВТБ_1[[#This Row],[Втб ао цена]]^2</f>
        <v>1.28881E-3</v>
      </c>
      <c r="G76" s="25">
        <f>ВТБ_1[[#This Row],[Втб ао цена]]*ВТБ_1[[#This Row],[Втб ао объем]]</f>
        <v>10292164538</v>
      </c>
      <c r="H76" s="6"/>
      <c r="I76" s="8">
        <v>6</v>
      </c>
      <c r="J76" s="8">
        <v>669037555090.15771</v>
      </c>
      <c r="K76" s="8">
        <v>240891294909.84229</v>
      </c>
      <c r="L76" s="8">
        <v>0.67993671744601891</v>
      </c>
      <c r="N76" s="8">
        <v>5.913978494623656</v>
      </c>
      <c r="O76" s="8">
        <v>179099730000</v>
      </c>
      <c r="R76" s="6"/>
      <c r="S76" s="6"/>
    </row>
    <row r="77" spans="1:19" x14ac:dyDescent="0.2">
      <c r="A77" s="26">
        <v>3.5645000000000003E-2</v>
      </c>
      <c r="B77" s="25">
        <v>300233110000</v>
      </c>
      <c r="C77" s="29">
        <f>k1_v*ВТБ_1[[#This Row],[Втб ао цена]]+k0_v</f>
        <v>778385464890.17761</v>
      </c>
      <c r="D77" s="25">
        <f>ВТБ_1[[#This Row],[Втб ао объем]]-ВТБ_1[[#This Row],[h=k1*x+k0]]</f>
        <v>-478152354890.17761</v>
      </c>
      <c r="E77" s="25">
        <f>ВТБ_1[[#This Row],[y-h]]^2</f>
        <v>2.2862967448702235E+23</v>
      </c>
      <c r="F77" s="26">
        <f>ВТБ_1[[#This Row],[Втб ао цена]]^2</f>
        <v>1.2705660250000002E-3</v>
      </c>
      <c r="G77" s="25">
        <f>ВТБ_1[[#This Row],[Втб ао цена]]*ВТБ_1[[#This Row],[Втб ао объем]]</f>
        <v>10701809205.950001</v>
      </c>
      <c r="H77" s="6"/>
      <c r="I77" s="8">
        <v>7</v>
      </c>
      <c r="J77" s="8">
        <v>658372041917.96704</v>
      </c>
      <c r="K77" s="8">
        <v>115572708082.03296</v>
      </c>
      <c r="L77" s="8">
        <v>0.32621406177859263</v>
      </c>
      <c r="N77" s="8">
        <v>6.9892473118279561</v>
      </c>
      <c r="O77" s="8">
        <v>204739850000</v>
      </c>
      <c r="R77" s="6"/>
      <c r="S77" s="6"/>
    </row>
    <row r="78" spans="1:19" x14ac:dyDescent="0.2">
      <c r="A78" s="26">
        <v>3.5499999999999997E-2</v>
      </c>
      <c r="B78" s="25">
        <v>338645330000</v>
      </c>
      <c r="C78" s="29">
        <f>k1_v*ВТБ_1[[#This Row],[Втб ао цена]]+k0_v</f>
        <v>779916652424.79919</v>
      </c>
      <c r="D78" s="25">
        <f>ВТБ_1[[#This Row],[Втб ао объем]]-ВТБ_1[[#This Row],[h=k1*x+k0]]</f>
        <v>-441271322424.79919</v>
      </c>
      <c r="E78" s="25">
        <f>ВТБ_1[[#This Row],[y-h]]^2</f>
        <v>1.9472037999453108E+23</v>
      </c>
      <c r="F78" s="26">
        <f>ВТБ_1[[#This Row],[Втб ао цена]]^2</f>
        <v>1.2602499999999999E-3</v>
      </c>
      <c r="G78" s="25">
        <f>ВТБ_1[[#This Row],[Втб ао цена]]*ВТБ_1[[#This Row],[Втб ао объем]]</f>
        <v>12021909214.999998</v>
      </c>
      <c r="H78" s="6"/>
      <c r="I78" s="8">
        <v>8</v>
      </c>
      <c r="J78" s="8">
        <v>662596007530.71582</v>
      </c>
      <c r="K78" s="8">
        <v>27393302469.28418</v>
      </c>
      <c r="L78" s="8">
        <v>7.7319988536497353E-2</v>
      </c>
      <c r="N78" s="8">
        <v>8.064516129032258</v>
      </c>
      <c r="O78" s="8">
        <v>207910220000</v>
      </c>
      <c r="R78" s="6"/>
      <c r="S78" s="6"/>
    </row>
    <row r="79" spans="1:19" x14ac:dyDescent="0.2">
      <c r="A79" s="26">
        <v>3.6705000000000002E-2</v>
      </c>
      <c r="B79" s="25">
        <v>504487530000</v>
      </c>
      <c r="C79" s="29">
        <f>k1_v*ВТБ_1[[#This Row],[Втб ао цена]]+k0_v</f>
        <v>767191956016.39307</v>
      </c>
      <c r="D79" s="25">
        <f>ВТБ_1[[#This Row],[Втб ао объем]]-ВТБ_1[[#This Row],[h=k1*x+k0]]</f>
        <v>-262704426016.39307</v>
      </c>
      <c r="E79" s="25">
        <f>ВТБ_1[[#This Row],[y-h]]^2</f>
        <v>6.9013615448602538E+22</v>
      </c>
      <c r="F79" s="26">
        <f>ВТБ_1[[#This Row],[Втб ао цена]]^2</f>
        <v>1.347257025E-3</v>
      </c>
      <c r="G79" s="25">
        <f>ВТБ_1[[#This Row],[Втб ао цена]]*ВТБ_1[[#This Row],[Втб ао объем]]</f>
        <v>18517214788.650002</v>
      </c>
      <c r="H79" s="6"/>
      <c r="I79" s="8">
        <v>9</v>
      </c>
      <c r="J79" s="8">
        <v>684877426137.96558</v>
      </c>
      <c r="K79" s="8">
        <v>-260774806137.96558</v>
      </c>
      <c r="L79" s="8">
        <v>-0.73605966435786607</v>
      </c>
      <c r="N79" s="8">
        <v>9.1397849462365581</v>
      </c>
      <c r="O79" s="8">
        <v>225458160000</v>
      </c>
      <c r="R79" s="6"/>
      <c r="S79" s="6"/>
    </row>
    <row r="80" spans="1:19" x14ac:dyDescent="0.2">
      <c r="A80" s="26">
        <v>3.9879999999999999E-2</v>
      </c>
      <c r="B80" s="25">
        <v>552706610000</v>
      </c>
      <c r="C80" s="29">
        <f>k1_v*ВТБ_1[[#This Row],[Втб ао цена]]+k0_v</f>
        <v>733664228965.19849</v>
      </c>
      <c r="D80" s="25">
        <f>ВТБ_1[[#This Row],[Втб ао объем]]-ВТБ_1[[#This Row],[h=k1*x+k0]]</f>
        <v>-180957618965.19849</v>
      </c>
      <c r="E80" s="25">
        <f>ВТБ_1[[#This Row],[y-h]]^2</f>
        <v>3.2745659861553964E+22</v>
      </c>
      <c r="F80" s="26">
        <f>ВТБ_1[[#This Row],[Втб ао цена]]^2</f>
        <v>1.5904144E-3</v>
      </c>
      <c r="G80" s="25">
        <f>ВТБ_1[[#This Row],[Втб ао цена]]*ВТБ_1[[#This Row],[Втб ао объем]]</f>
        <v>22041939606.799999</v>
      </c>
      <c r="H80" s="6"/>
      <c r="I80" s="8">
        <v>10</v>
      </c>
      <c r="J80" s="8">
        <v>704202068816.29102</v>
      </c>
      <c r="K80" s="8">
        <v>65971991183.708984</v>
      </c>
      <c r="L80" s="8">
        <v>0.18621170659411834</v>
      </c>
      <c r="N80" s="8">
        <v>10.215053763440858</v>
      </c>
      <c r="O80" s="8">
        <v>234598360000</v>
      </c>
      <c r="R80" s="6"/>
      <c r="S80" s="6"/>
    </row>
    <row r="81" spans="1:19" x14ac:dyDescent="0.2">
      <c r="A81" s="26">
        <v>4.2500000000000003E-2</v>
      </c>
      <c r="B81" s="25">
        <v>878966510000</v>
      </c>
      <c r="C81" s="29">
        <f>k1_v*ВТБ_1[[#This Row],[Втб ао цена]]+k0_v</f>
        <v>705997254201.69312</v>
      </c>
      <c r="D81" s="25">
        <f>ВТБ_1[[#This Row],[Втб ао объем]]-ВТБ_1[[#This Row],[h=k1*x+k0]]</f>
        <v>172969255798.30688</v>
      </c>
      <c r="E81" s="25">
        <f>ВТБ_1[[#This Row],[y-h]]^2</f>
        <v>2.9918363451420119E+22</v>
      </c>
      <c r="F81" s="26">
        <f>ВТБ_1[[#This Row],[Втб ао цена]]^2</f>
        <v>1.8062500000000003E-3</v>
      </c>
      <c r="G81" s="25">
        <f>ВТБ_1[[#This Row],[Втб ао цена]]*ВТБ_1[[#This Row],[Втб ао объем]]</f>
        <v>37356076675</v>
      </c>
      <c r="H81" s="6"/>
      <c r="I81" s="8">
        <v>11</v>
      </c>
      <c r="J81" s="8">
        <v>686461413242.74634</v>
      </c>
      <c r="K81" s="8">
        <v>408641916757.25366</v>
      </c>
      <c r="L81" s="8">
        <v>1.153427497638579</v>
      </c>
      <c r="N81" s="8">
        <v>11.29032258064516</v>
      </c>
      <c r="O81" s="8">
        <v>252186300000</v>
      </c>
      <c r="R81" s="6"/>
      <c r="S81" s="6"/>
    </row>
    <row r="82" spans="1:19" x14ac:dyDescent="0.2">
      <c r="A82" s="26">
        <v>3.8679999999999999E-2</v>
      </c>
      <c r="B82" s="25">
        <v>588826140000</v>
      </c>
      <c r="C82" s="29">
        <f>k1_v*ВТБ_1[[#This Row],[Втб ао цена]]+k0_v</f>
        <v>746336125803.44531</v>
      </c>
      <c r="D82" s="25">
        <f>ВТБ_1[[#This Row],[Втб ао объем]]-ВТБ_1[[#This Row],[h=k1*x+k0]]</f>
        <v>-157509985803.44531</v>
      </c>
      <c r="E82" s="25">
        <f>ВТБ_1[[#This Row],[y-h]]^2</f>
        <v>2.4809395627801543E+22</v>
      </c>
      <c r="F82" s="26">
        <f>ВТБ_1[[#This Row],[Втб ао цена]]^2</f>
        <v>1.4961423999999999E-3</v>
      </c>
      <c r="G82" s="25">
        <f>ВТБ_1[[#This Row],[Втб ао цена]]*ВТБ_1[[#This Row],[Втб ао объем]]</f>
        <v>22775795095.200001</v>
      </c>
      <c r="H82" s="6"/>
      <c r="I82" s="8">
        <v>12</v>
      </c>
      <c r="J82" s="8">
        <v>666080779161.2334</v>
      </c>
      <c r="K82" s="8">
        <v>451811650838.7666</v>
      </c>
      <c r="L82" s="8">
        <v>1.2752778421908268</v>
      </c>
      <c r="N82" s="8">
        <v>12.365591397849462</v>
      </c>
      <c r="O82" s="8">
        <v>266410390000</v>
      </c>
      <c r="R82" s="6"/>
      <c r="S82" s="6"/>
    </row>
    <row r="83" spans="1:19" x14ac:dyDescent="0.2">
      <c r="A83" s="26">
        <v>4.2595000000000001E-2</v>
      </c>
      <c r="B83" s="25">
        <v>810694080000</v>
      </c>
      <c r="C83" s="29">
        <f>k1_v*ВТБ_1[[#This Row],[Втб ао цена]]+k0_v</f>
        <v>704994062368.66528</v>
      </c>
      <c r="D83" s="25">
        <f>ВТБ_1[[#This Row],[Втб ао объем]]-ВТБ_1[[#This Row],[h=k1*x+k0]]</f>
        <v>105700017631.33472</v>
      </c>
      <c r="E83" s="25">
        <f>ВТБ_1[[#This Row],[y-h]]^2</f>
        <v>1.117249372726447E+22</v>
      </c>
      <c r="F83" s="26">
        <f>ВТБ_1[[#This Row],[Втб ао цена]]^2</f>
        <v>1.814334025E-3</v>
      </c>
      <c r="G83" s="25">
        <f>ВТБ_1[[#This Row],[Втб ао цена]]*ВТБ_1[[#This Row],[Втб ао объем]]</f>
        <v>34531514337.599998</v>
      </c>
      <c r="H83" s="6"/>
      <c r="I83" s="8">
        <v>13</v>
      </c>
      <c r="J83" s="8">
        <v>630388269733.50635</v>
      </c>
      <c r="K83" s="8">
        <v>252989740266.49365</v>
      </c>
      <c r="L83" s="8">
        <v>0.71408563604882824</v>
      </c>
      <c r="N83" s="8">
        <v>13.440860215053762</v>
      </c>
      <c r="O83" s="8">
        <v>274461660000</v>
      </c>
      <c r="R83" s="6"/>
      <c r="S83" s="6"/>
    </row>
    <row r="84" spans="1:19" x14ac:dyDescent="0.2">
      <c r="A84" s="26">
        <v>4.3090000000000003E-2</v>
      </c>
      <c r="B84" s="25">
        <v>561078690000</v>
      </c>
      <c r="C84" s="29">
        <f>k1_v*ВТБ_1[[#This Row],[Втб ао цена]]+k0_v</f>
        <v>699766904922.88843</v>
      </c>
      <c r="D84" s="25">
        <f>ВТБ_1[[#This Row],[Втб ао объем]]-ВТБ_1[[#This Row],[h=k1*x+k0]]</f>
        <v>-138688214922.88843</v>
      </c>
      <c r="E84" s="25">
        <f>ВТБ_1[[#This Row],[y-h]]^2</f>
        <v>1.9234420958497291E+22</v>
      </c>
      <c r="F84" s="26">
        <f>ВТБ_1[[#This Row],[Втб ао цена]]^2</f>
        <v>1.8567481000000003E-3</v>
      </c>
      <c r="G84" s="25">
        <f>ВТБ_1[[#This Row],[Втб ао цена]]*ВТБ_1[[#This Row],[Втб ао объем]]</f>
        <v>24176880752.100002</v>
      </c>
      <c r="H84" s="6"/>
      <c r="I84" s="8">
        <v>14</v>
      </c>
      <c r="J84" s="8">
        <v>674951106948.00586</v>
      </c>
      <c r="K84" s="8">
        <v>-112722776948.00586</v>
      </c>
      <c r="L84" s="8">
        <v>-0.31816988226208981</v>
      </c>
      <c r="N84" s="8">
        <v>14.516129032258062</v>
      </c>
      <c r="O84" s="8">
        <v>282574220000</v>
      </c>
      <c r="R84" s="6"/>
      <c r="S84" s="6"/>
    </row>
    <row r="85" spans="1:19" x14ac:dyDescent="0.2">
      <c r="A85" s="26">
        <v>4.5330000000000002E-2</v>
      </c>
      <c r="B85" s="25">
        <v>790972300000</v>
      </c>
      <c r="C85" s="29">
        <f>k1_v*ВТБ_1[[#This Row],[Втб ао цена]]+k0_v</f>
        <v>676112697491.49463</v>
      </c>
      <c r="D85" s="25">
        <f>ВТБ_1[[#This Row],[Втб ао объем]]-ВТБ_1[[#This Row],[h=k1*x+k0]]</f>
        <v>114859602508.50537</v>
      </c>
      <c r="E85" s="25">
        <f>ВТБ_1[[#This Row],[y-h]]^2</f>
        <v>1.3192728288411852E+22</v>
      </c>
      <c r="F85" s="26">
        <f>ВТБ_1[[#This Row],[Втб ао цена]]^2</f>
        <v>2.0548089000000003E-3</v>
      </c>
      <c r="G85" s="25">
        <f>ВТБ_1[[#This Row],[Втб ао цена]]*ВТБ_1[[#This Row],[Втб ао объем]]</f>
        <v>35854774359</v>
      </c>
      <c r="H85" s="6"/>
      <c r="I85" s="8">
        <v>15</v>
      </c>
      <c r="J85" s="8">
        <v>709904422393.50195</v>
      </c>
      <c r="K85" s="8">
        <v>-178370592393.50195</v>
      </c>
      <c r="L85" s="8">
        <v>-0.50346657452412691</v>
      </c>
      <c r="N85" s="8">
        <v>15.591397849462364</v>
      </c>
      <c r="O85" s="8">
        <v>284381410000</v>
      </c>
      <c r="R85" s="6"/>
      <c r="S85" s="6"/>
    </row>
    <row r="86" spans="1:19" x14ac:dyDescent="0.2">
      <c r="A86" s="26">
        <v>4.5900000000000003E-2</v>
      </c>
      <c r="B86" s="25">
        <v>399669980000</v>
      </c>
      <c r="C86" s="29">
        <f>k1_v*ВТБ_1[[#This Row],[Втб ао цена]]+k0_v</f>
        <v>670093546493.32739</v>
      </c>
      <c r="D86" s="25">
        <f>ВТБ_1[[#This Row],[Втб ао объем]]-ВТБ_1[[#This Row],[h=k1*x+k0]]</f>
        <v>-270423566493.32739</v>
      </c>
      <c r="E86" s="25">
        <f>ВТБ_1[[#This Row],[y-h]]^2</f>
        <v>7.312890531497106E+22</v>
      </c>
      <c r="F86" s="26">
        <f>ВТБ_1[[#This Row],[Втб ао цена]]^2</f>
        <v>2.1068100000000002E-3</v>
      </c>
      <c r="G86" s="25">
        <f>ВТБ_1[[#This Row],[Втб ао цена]]*ВТБ_1[[#This Row],[Втб ао объем]]</f>
        <v>18344852082</v>
      </c>
      <c r="H86" s="6"/>
      <c r="I86" s="8">
        <v>16</v>
      </c>
      <c r="J86" s="8">
        <v>736621004894.1377</v>
      </c>
      <c r="K86" s="8">
        <v>981380775105.8623</v>
      </c>
      <c r="L86" s="8">
        <v>2.770032943863121</v>
      </c>
      <c r="N86" s="8">
        <v>16.666666666666668</v>
      </c>
      <c r="O86" s="8">
        <v>286689820000</v>
      </c>
      <c r="R86" s="6"/>
      <c r="S86" s="6"/>
    </row>
    <row r="87" spans="1:19" x14ac:dyDescent="0.2">
      <c r="A87" s="26">
        <v>4.6399999999999997E-2</v>
      </c>
      <c r="B87" s="25">
        <v>799598550000</v>
      </c>
      <c r="C87" s="29">
        <f>k1_v*ВТБ_1[[#This Row],[Втб ао цена]]+k0_v</f>
        <v>664813589477.39136</v>
      </c>
      <c r="D87" s="25">
        <f>ВТБ_1[[#This Row],[Втб ао объем]]-ВТБ_1[[#This Row],[h=k1*x+k0]]</f>
        <v>134784960522.60864</v>
      </c>
      <c r="E87" s="25">
        <f>ВТБ_1[[#This Row],[y-h]]^2</f>
        <v>1.816698558308117E+22</v>
      </c>
      <c r="F87" s="26">
        <f>ВТБ_1[[#This Row],[Втб ао цена]]^2</f>
        <v>2.1529599999999998E-3</v>
      </c>
      <c r="G87" s="25">
        <f>ВТБ_1[[#This Row],[Втб ао цена]]*ВТБ_1[[#This Row],[Втб ао объем]]</f>
        <v>37101372720</v>
      </c>
      <c r="H87" s="6"/>
      <c r="I87" s="8">
        <v>17</v>
      </c>
      <c r="J87" s="8">
        <v>746652923224.41614</v>
      </c>
      <c r="K87" s="8">
        <v>834909756775.58386</v>
      </c>
      <c r="L87" s="8">
        <v>2.356605702991927</v>
      </c>
      <c r="N87" s="8">
        <v>17.741935483870968</v>
      </c>
      <c r="O87" s="8">
        <v>288953870000</v>
      </c>
      <c r="R87" s="6"/>
      <c r="S87" s="6"/>
    </row>
    <row r="88" spans="1:19" x14ac:dyDescent="0.2">
      <c r="A88" s="26">
        <v>4.333E-2</v>
      </c>
      <c r="B88" s="25">
        <v>598942560000</v>
      </c>
      <c r="C88" s="29">
        <f>k1_v*ВТБ_1[[#This Row],[Втб ао цена]]+k0_v</f>
        <v>697232525555.23926</v>
      </c>
      <c r="D88" s="25">
        <f>ВТБ_1[[#This Row],[Втб ао объем]]-ВТБ_1[[#This Row],[h=k1*x+k0]]</f>
        <v>-98289965555.239258</v>
      </c>
      <c r="E88" s="25">
        <f>ВТБ_1[[#This Row],[y-h]]^2</f>
        <v>9.660917328850119E+21</v>
      </c>
      <c r="F88" s="26">
        <f>ВТБ_1[[#This Row],[Втб ао цена]]^2</f>
        <v>1.8774888999999999E-3</v>
      </c>
      <c r="G88" s="25">
        <f>ВТБ_1[[#This Row],[Втб ао цена]]*ВТБ_1[[#This Row],[Втб ао объем]]</f>
        <v>25952181124.799999</v>
      </c>
      <c r="H88" s="6"/>
      <c r="I88" s="8">
        <v>18</v>
      </c>
      <c r="J88" s="8">
        <v>648973718429.60107</v>
      </c>
      <c r="K88" s="8">
        <v>688494091570.39893</v>
      </c>
      <c r="L88" s="8">
        <v>1.9433347011504187</v>
      </c>
      <c r="N88" s="8">
        <v>18.817204301075268</v>
      </c>
      <c r="O88" s="8">
        <v>293417410000</v>
      </c>
      <c r="R88" s="6"/>
      <c r="S88" s="6"/>
    </row>
    <row r="89" spans="1:19" x14ac:dyDescent="0.2">
      <c r="A89" s="26">
        <v>3.2599999999999997E-2</v>
      </c>
      <c r="B89" s="25">
        <v>1740129320000</v>
      </c>
      <c r="C89" s="29">
        <f>k1_v*ВТБ_1[[#This Row],[Втб ао цена]]+k0_v</f>
        <v>810540403117.22876</v>
      </c>
      <c r="D89" s="25">
        <f>ВТБ_1[[#This Row],[Втб ао объем]]-ВТБ_1[[#This Row],[h=k1*x+k0]]</f>
        <v>929588916882.77124</v>
      </c>
      <c r="E89" s="25">
        <f>ВТБ_1[[#This Row],[y-h]]^2</f>
        <v>8.6413555439128375E+23</v>
      </c>
      <c r="F89" s="26">
        <f>ВТБ_1[[#This Row],[Втб ао цена]]^2</f>
        <v>1.0627599999999998E-3</v>
      </c>
      <c r="G89" s="25">
        <f>ВТБ_1[[#This Row],[Втб ао цена]]*ВТБ_1[[#This Row],[Втб ао объем]]</f>
        <v>56728215831.999992</v>
      </c>
      <c r="H89" s="6"/>
      <c r="I89" s="8">
        <v>19</v>
      </c>
      <c r="J89" s="8">
        <v>720781133846.32996</v>
      </c>
      <c r="K89" s="8">
        <v>499203476153.67004</v>
      </c>
      <c r="L89" s="8">
        <v>1.4090454079737695</v>
      </c>
      <c r="N89" s="8">
        <v>19.892473118279568</v>
      </c>
      <c r="O89" s="8">
        <v>293559920000</v>
      </c>
      <c r="R89" s="6"/>
      <c r="S89" s="6"/>
    </row>
    <row r="90" spans="1:19" x14ac:dyDescent="0.2">
      <c r="A90" s="26">
        <v>3.49E-2</v>
      </c>
      <c r="B90" s="25">
        <v>1423841900000</v>
      </c>
      <c r="C90" s="29">
        <f>k1_v*ВТБ_1[[#This Row],[Втб ао цена]]+k0_v</f>
        <v>786252600843.92261</v>
      </c>
      <c r="D90" s="25">
        <f>ВТБ_1[[#This Row],[Втб ао объем]]-ВТБ_1[[#This Row],[h=k1*x+k0]]</f>
        <v>637589299156.07739</v>
      </c>
      <c r="E90" s="25">
        <f>ВТБ_1[[#This Row],[y-h]]^2</f>
        <v>4.0652011439833793E+23</v>
      </c>
      <c r="F90" s="26">
        <f>ВТБ_1[[#This Row],[Втб ао цена]]^2</f>
        <v>1.2180100000000001E-3</v>
      </c>
      <c r="G90" s="25">
        <f>ВТБ_1[[#This Row],[Втб ао цена]]*ВТБ_1[[#This Row],[Втб ао объем]]</f>
        <v>49692082310</v>
      </c>
      <c r="H90" s="6"/>
      <c r="I90" s="8">
        <v>20</v>
      </c>
      <c r="J90" s="8">
        <v>734509022087.76343</v>
      </c>
      <c r="K90" s="8">
        <v>329748437912.23657</v>
      </c>
      <c r="L90" s="8">
        <v>0.93074376365867528</v>
      </c>
      <c r="N90" s="8">
        <v>20.967741935483872</v>
      </c>
      <c r="O90" s="8">
        <v>297785390000</v>
      </c>
      <c r="R90" s="6"/>
      <c r="S90" s="6"/>
    </row>
    <row r="91" spans="1:19" x14ac:dyDescent="0.2">
      <c r="A91" s="26">
        <v>3.6310000000000002E-2</v>
      </c>
      <c r="B91" s="25">
        <v>553192080000</v>
      </c>
      <c r="C91" s="29">
        <f>k1_v*ВТБ_1[[#This Row],[Втб ао цена]]+k0_v</f>
        <v>771363122058.98267</v>
      </c>
      <c r="D91" s="25">
        <f>ВТБ_1[[#This Row],[Втб ао объем]]-ВТБ_1[[#This Row],[h=k1*x+k0]]</f>
        <v>-218171042058.98267</v>
      </c>
      <c r="E91" s="25">
        <f>ВТБ_1[[#This Row],[y-h]]^2</f>
        <v>4.7598603593102385E+22</v>
      </c>
      <c r="F91" s="26">
        <f>ВТБ_1[[#This Row],[Втб ао цена]]^2</f>
        <v>1.3184161000000002E-3</v>
      </c>
      <c r="G91" s="25">
        <f>ВТБ_1[[#This Row],[Втб ао цена]]*ВТБ_1[[#This Row],[Втб ао объем]]</f>
        <v>20086404424.799999</v>
      </c>
      <c r="H91" s="6"/>
      <c r="I91" s="8">
        <v>21</v>
      </c>
      <c r="J91" s="8">
        <v>749292901732.38403</v>
      </c>
      <c r="K91" s="8">
        <v>-49813481732.384033</v>
      </c>
      <c r="L91" s="8">
        <v>-0.14060290250982652</v>
      </c>
      <c r="N91" s="8">
        <v>22.043010752688172</v>
      </c>
      <c r="O91" s="8">
        <v>299820580000</v>
      </c>
      <c r="R91" s="6"/>
      <c r="S91" s="6"/>
    </row>
    <row r="92" spans="1:19" x14ac:dyDescent="0.2">
      <c r="A92" s="26">
        <v>3.5049999999999998E-2</v>
      </c>
      <c r="B92" s="25">
        <v>644559090000</v>
      </c>
      <c r="C92" s="29">
        <f>k1_v*ВТБ_1[[#This Row],[Втб ао цена]]+k0_v</f>
        <v>784668613739.14172</v>
      </c>
      <c r="D92" s="25">
        <f>ВТБ_1[[#This Row],[Втб ао объем]]-ВТБ_1[[#This Row],[h=k1*x+k0]]</f>
        <v>-140109523739.14172</v>
      </c>
      <c r="E92" s="25">
        <f>ВТБ_1[[#This Row],[y-h]]^2</f>
        <v>1.9630678642409119E+22</v>
      </c>
      <c r="F92" s="26">
        <f>ВТБ_1[[#This Row],[Втб ао цена]]^2</f>
        <v>1.2285024999999998E-3</v>
      </c>
      <c r="G92" s="25">
        <f>ВТБ_1[[#This Row],[Втб ао цена]]*ВТБ_1[[#This Row],[Втб ао объем]]</f>
        <v>22591796104.5</v>
      </c>
      <c r="H92" s="6"/>
      <c r="I92" s="8">
        <v>22</v>
      </c>
      <c r="J92" s="8">
        <v>753094470783.85791</v>
      </c>
      <c r="K92" s="8">
        <v>-218658260783.85791</v>
      </c>
      <c r="L92" s="8">
        <v>-0.61718203696599172</v>
      </c>
      <c r="N92" s="8">
        <v>23.118279569892472</v>
      </c>
      <c r="O92" s="8">
        <v>300093660000</v>
      </c>
      <c r="R92" s="6"/>
      <c r="S92" s="6"/>
    </row>
    <row r="93" spans="1:19" x14ac:dyDescent="0.2">
      <c r="A93" s="26">
        <v>3.8754999999999998E-2</v>
      </c>
      <c r="B93" s="25">
        <v>873603110000</v>
      </c>
      <c r="C93" s="29">
        <f>k1_v*ВТБ_1[[#This Row],[Втб ао цена]]+k0_v</f>
        <v>745544132251.05493</v>
      </c>
      <c r="D93" s="25">
        <f>ВТБ_1[[#This Row],[Втб ао объем]]-ВТБ_1[[#This Row],[h=k1*x+k0]]</f>
        <v>128058977748.94507</v>
      </c>
      <c r="E93" s="25">
        <f>ВТБ_1[[#This Row],[y-h]]^2</f>
        <v>1.6399101782104809E+22</v>
      </c>
      <c r="F93" s="26">
        <f>ВТБ_1[[#This Row],[Втб ао цена]]^2</f>
        <v>1.5019500249999998E-3</v>
      </c>
      <c r="G93" s="25">
        <f>ВТБ_1[[#This Row],[Втб ао цена]]*ВТБ_1[[#This Row],[Втб ао объем]]</f>
        <v>33856488528.049999</v>
      </c>
      <c r="H93" s="6"/>
      <c r="I93" s="8">
        <v>23</v>
      </c>
      <c r="J93" s="8">
        <v>733136233263.62012</v>
      </c>
      <c r="K93" s="8">
        <v>-180460763263.62012</v>
      </c>
      <c r="L93" s="8">
        <v>-0.50936626434422327</v>
      </c>
      <c r="N93" s="8">
        <v>24.193548387096776</v>
      </c>
      <c r="O93" s="8">
        <v>300233110000</v>
      </c>
      <c r="R93" s="6"/>
      <c r="S93" s="6"/>
    </row>
    <row r="94" spans="1:19" x14ac:dyDescent="0.2">
      <c r="A94" s="26">
        <v>3.5950000000000003E-2</v>
      </c>
      <c r="B94" s="25">
        <v>965851250000</v>
      </c>
      <c r="C94" s="29">
        <f>k1_v*ВТБ_1[[#This Row],[Втб ао цена]]+k0_v</f>
        <v>775164691110.45654</v>
      </c>
      <c r="D94" s="25">
        <f>ВТБ_1[[#This Row],[Втб ао объем]]-ВТБ_1[[#This Row],[h=k1*x+k0]]</f>
        <v>190686558889.54346</v>
      </c>
      <c r="E94" s="25">
        <f>ВТБ_1[[#This Row],[y-h]]^2</f>
        <v>3.6361363741135325E+22</v>
      </c>
      <c r="F94" s="26">
        <f>ВТБ_1[[#This Row],[Втб ао цена]]^2</f>
        <v>1.2924025000000002E-3</v>
      </c>
      <c r="G94" s="25">
        <f>ВТБ_1[[#This Row],[Втб ао цена]]*ВТБ_1[[#This Row],[Втб ао объем]]</f>
        <v>34722352437.5</v>
      </c>
      <c r="H94" s="6"/>
      <c r="I94" s="8">
        <v>24</v>
      </c>
      <c r="J94" s="8">
        <v>661645615267.84729</v>
      </c>
      <c r="K94" s="8">
        <v>554290594732.15271</v>
      </c>
      <c r="L94" s="8">
        <v>1.564533611039935</v>
      </c>
      <c r="N94" s="8">
        <v>25.268817204301076</v>
      </c>
      <c r="O94" s="8">
        <v>303739850000</v>
      </c>
      <c r="R94" s="6"/>
      <c r="S94" s="6"/>
    </row>
    <row r="95" spans="1:19" x14ac:dyDescent="0.2">
      <c r="A95" s="26">
        <f>SUBTOTAL(109,ВТБ_1[Втб ао цена])</f>
        <v>4.9276200000000028</v>
      </c>
      <c r="B95" s="25">
        <f>SUBTOTAL(109,ВТБ_1[Втб ао объем])</f>
        <v>55360561270000</v>
      </c>
      <c r="C95" s="30">
        <f>SUBTOTAL(109,ВТБ_1[h=k1*x+k0])</f>
        <v>55360561269998.133</v>
      </c>
      <c r="D95" s="6">
        <f>SUBTOTAL(109,ВТБ_1[y-h])</f>
        <v>1.8245849609375</v>
      </c>
      <c r="E95" s="6">
        <f>SUBTOTAL(109,ВТБ_1[(y-h)^2])</f>
        <v>1.1547635080461914E+25</v>
      </c>
      <c r="F95" s="27">
        <f>SUBTOTAL(109,ВТБ_1[x^2])</f>
        <v>0.27839685029999989</v>
      </c>
      <c r="G95" s="28">
        <f>SUBTOTAL(109,ВТБ_1[x*y])</f>
        <v>2750537236061.1494</v>
      </c>
      <c r="H95" s="6"/>
      <c r="I95" s="8">
        <v>25</v>
      </c>
      <c r="J95" s="8">
        <v>447279360420.84766</v>
      </c>
      <c r="K95" s="8">
        <v>1454690639579.1523</v>
      </c>
      <c r="L95" s="8">
        <v>4.1059913715233476</v>
      </c>
      <c r="N95" s="8">
        <v>26.344086021505376</v>
      </c>
      <c r="O95" s="8">
        <v>322917130000</v>
      </c>
      <c r="R95" s="6"/>
      <c r="S95" s="6"/>
    </row>
    <row r="96" spans="1:19" x14ac:dyDescent="0.2">
      <c r="H96" s="6"/>
      <c r="I96" s="8">
        <v>26</v>
      </c>
      <c r="J96" s="8">
        <v>426793127199.01624</v>
      </c>
      <c r="K96" s="8">
        <v>45306022800.983765</v>
      </c>
      <c r="L96" s="8">
        <v>0.12788020602971467</v>
      </c>
      <c r="N96" s="8">
        <v>27.419354838709676</v>
      </c>
      <c r="O96" s="8">
        <v>337608430000</v>
      </c>
      <c r="R96" s="6"/>
      <c r="S96" s="6"/>
    </row>
    <row r="97" spans="8:19" x14ac:dyDescent="0.2">
      <c r="H97" s="6"/>
      <c r="I97" s="8">
        <v>27</v>
      </c>
      <c r="J97" s="8">
        <v>436719446388.97571</v>
      </c>
      <c r="K97" s="8">
        <v>-908886388.97570801</v>
      </c>
      <c r="L97" s="8">
        <v>-2.5654112079176623E-3</v>
      </c>
      <c r="N97" s="8">
        <v>28.494623655913976</v>
      </c>
      <c r="O97" s="8">
        <v>338645330000</v>
      </c>
      <c r="R97" s="6"/>
      <c r="S97" s="6"/>
    </row>
    <row r="98" spans="8:19" x14ac:dyDescent="0.2">
      <c r="H98" s="6"/>
      <c r="I98" s="8">
        <v>28</v>
      </c>
      <c r="J98" s="8">
        <v>521198758643.95105</v>
      </c>
      <c r="K98" s="8">
        <v>-140340298643.95105</v>
      </c>
      <c r="L98" s="8">
        <v>-0.39612274914739271</v>
      </c>
      <c r="N98" s="8">
        <v>29.56989247311828</v>
      </c>
      <c r="O98" s="8">
        <v>349150430000</v>
      </c>
      <c r="R98" s="6"/>
      <c r="S98" s="6"/>
    </row>
    <row r="99" spans="8:19" x14ac:dyDescent="0.2">
      <c r="H99" s="6"/>
      <c r="I99" s="8">
        <v>29</v>
      </c>
      <c r="J99" s="8">
        <v>463119231468.65552</v>
      </c>
      <c r="K99" s="8">
        <v>207662268531.34448</v>
      </c>
      <c r="L99" s="8">
        <v>0.58614488852924951</v>
      </c>
      <c r="N99" s="8">
        <v>30.64516129032258</v>
      </c>
      <c r="O99" s="8">
        <v>351481170000</v>
      </c>
      <c r="R99" s="6"/>
      <c r="S99" s="6"/>
    </row>
    <row r="100" spans="8:19" x14ac:dyDescent="0.2">
      <c r="H100" s="6"/>
      <c r="I100" s="8">
        <v>30</v>
      </c>
      <c r="J100" s="8">
        <v>307360499498.54492</v>
      </c>
      <c r="K100" s="8">
        <v>738616170501.45508</v>
      </c>
      <c r="L100" s="8">
        <v>2.0848086462039648</v>
      </c>
      <c r="N100" s="8">
        <v>31.72043010752688</v>
      </c>
      <c r="O100" s="8">
        <v>352127560000</v>
      </c>
      <c r="R100" s="6"/>
      <c r="S100" s="6"/>
    </row>
    <row r="101" spans="8:19" x14ac:dyDescent="0.2">
      <c r="H101" s="6"/>
      <c r="I101" s="8">
        <v>31</v>
      </c>
      <c r="J101" s="8">
        <v>320560392038.38489</v>
      </c>
      <c r="K101" s="8">
        <v>437067007961.61511</v>
      </c>
      <c r="L101" s="8">
        <v>1.233659799988196</v>
      </c>
      <c r="N101" s="8">
        <v>32.795698924731184</v>
      </c>
      <c r="O101" s="8">
        <v>355294170000</v>
      </c>
      <c r="R101" s="6"/>
      <c r="S101" s="6"/>
    </row>
    <row r="102" spans="8:19" x14ac:dyDescent="0.2">
      <c r="H102" s="6"/>
      <c r="I102" s="8">
        <v>32</v>
      </c>
      <c r="J102" s="8">
        <v>394479790261.48828</v>
      </c>
      <c r="K102" s="8">
        <v>-39185620261.488281</v>
      </c>
      <c r="L102" s="8">
        <v>-0.11060483535386544</v>
      </c>
      <c r="N102" s="8">
        <v>33.87096774193548</v>
      </c>
      <c r="O102" s="8">
        <v>360228510000</v>
      </c>
      <c r="R102" s="6"/>
      <c r="S102" s="6"/>
    </row>
    <row r="103" spans="8:19" x14ac:dyDescent="0.2">
      <c r="H103" s="6"/>
      <c r="I103" s="8">
        <v>33</v>
      </c>
      <c r="J103" s="8">
        <v>426159532357.10376</v>
      </c>
      <c r="K103" s="8">
        <v>-128374142357.10376</v>
      </c>
      <c r="L103" s="8">
        <v>-0.36234722799719871</v>
      </c>
      <c r="N103" s="8">
        <v>34.946236559139784</v>
      </c>
      <c r="O103" s="8">
        <v>380858460000</v>
      </c>
      <c r="R103" s="6"/>
      <c r="S103" s="6"/>
    </row>
    <row r="104" spans="8:19" x14ac:dyDescent="0.2">
      <c r="H104" s="6"/>
      <c r="I104" s="8">
        <v>34</v>
      </c>
      <c r="J104" s="8">
        <v>439887420598.53735</v>
      </c>
      <c r="K104" s="8">
        <v>-150933550598.53735</v>
      </c>
      <c r="L104" s="8">
        <v>-0.42602312792104569</v>
      </c>
      <c r="N104" s="8">
        <v>36.021505376344088</v>
      </c>
      <c r="O104" s="8">
        <v>392395190000</v>
      </c>
      <c r="R104" s="6"/>
      <c r="S104" s="6"/>
    </row>
    <row r="105" spans="8:19" x14ac:dyDescent="0.2">
      <c r="H105" s="6"/>
      <c r="I105" s="8">
        <v>35</v>
      </c>
      <c r="J105" s="8">
        <v>390783820350.33301</v>
      </c>
      <c r="K105" s="8">
        <v>15585209649.666992</v>
      </c>
      <c r="L105" s="8">
        <v>4.3990615326588225E-2</v>
      </c>
      <c r="N105" s="8">
        <v>37.096774193548384</v>
      </c>
      <c r="O105" s="8">
        <v>393514230000</v>
      </c>
      <c r="R105" s="6"/>
      <c r="S105" s="6"/>
    </row>
    <row r="106" spans="8:19" x14ac:dyDescent="0.2">
      <c r="H106" s="6"/>
      <c r="I106" s="8">
        <v>36</v>
      </c>
      <c r="J106" s="8">
        <v>405039704293.36011</v>
      </c>
      <c r="K106" s="8">
        <v>-111479784293.36011</v>
      </c>
      <c r="L106" s="8">
        <v>-0.3146614269410884</v>
      </c>
      <c r="N106" s="8">
        <v>38.172043010752688</v>
      </c>
      <c r="O106" s="8">
        <v>399669980000</v>
      </c>
      <c r="R106" s="6"/>
      <c r="S106" s="6"/>
    </row>
    <row r="107" spans="8:19" x14ac:dyDescent="0.2">
      <c r="H107" s="6"/>
      <c r="I107" s="8">
        <v>37</v>
      </c>
      <c r="J107" s="8">
        <v>313168452216.07458</v>
      </c>
      <c r="K107" s="8">
        <v>35981977783.925415</v>
      </c>
      <c r="L107" s="8">
        <v>0.10156227467984863</v>
      </c>
      <c r="N107" s="8">
        <v>39.247311827956985</v>
      </c>
      <c r="O107" s="8">
        <v>405720540000</v>
      </c>
      <c r="R107" s="6"/>
      <c r="S107" s="6"/>
    </row>
    <row r="108" spans="8:19" x14ac:dyDescent="0.2">
      <c r="H108" s="6"/>
      <c r="I108" s="8">
        <v>38</v>
      </c>
      <c r="J108" s="8">
        <v>376527936407.30591</v>
      </c>
      <c r="K108" s="8">
        <v>16986293592.694092</v>
      </c>
      <c r="L108" s="8">
        <v>4.7945297115503493E-2</v>
      </c>
      <c r="N108" s="8">
        <v>40.322580645161288</v>
      </c>
      <c r="O108" s="8">
        <v>406369030000</v>
      </c>
      <c r="R108" s="6"/>
      <c r="S108" s="6"/>
    </row>
    <row r="109" spans="8:19" x14ac:dyDescent="0.2">
      <c r="H109" s="6"/>
      <c r="I109" s="8">
        <v>39</v>
      </c>
      <c r="J109" s="8">
        <v>379695910616.86743</v>
      </c>
      <c r="K109" s="8">
        <v>-95314500616.867432</v>
      </c>
      <c r="L109" s="8">
        <v>-0.26903350201465281</v>
      </c>
      <c r="N109" s="8">
        <v>41.397849462365592</v>
      </c>
      <c r="O109" s="8">
        <v>419332310000</v>
      </c>
      <c r="R109" s="6"/>
      <c r="S109" s="6"/>
    </row>
    <row r="110" spans="8:19" x14ac:dyDescent="0.2">
      <c r="H110" s="6"/>
      <c r="I110" s="8">
        <v>40</v>
      </c>
      <c r="J110" s="8">
        <v>345059392592.32764</v>
      </c>
      <c r="K110" s="8">
        <v>-41319542592.327637</v>
      </c>
      <c r="L110" s="8">
        <v>-0.11662801749275803</v>
      </c>
      <c r="N110" s="8">
        <v>42.473118279569889</v>
      </c>
      <c r="O110" s="8">
        <v>423765060000</v>
      </c>
      <c r="R110" s="6"/>
      <c r="S110" s="6"/>
    </row>
    <row r="111" spans="8:19" x14ac:dyDescent="0.2">
      <c r="H111" s="6"/>
      <c r="I111" s="8">
        <v>41</v>
      </c>
      <c r="J111" s="8">
        <v>415071622623.63831</v>
      </c>
      <c r="K111" s="8">
        <v>-63590452623.638306</v>
      </c>
      <c r="L111" s="8">
        <v>-0.17948960602335415</v>
      </c>
      <c r="N111" s="8">
        <v>43.548387096774192</v>
      </c>
      <c r="O111" s="8">
        <v>424102620000</v>
      </c>
      <c r="R111" s="6"/>
      <c r="S111" s="6"/>
    </row>
    <row r="112" spans="8:19" x14ac:dyDescent="0.2">
      <c r="H112" s="6"/>
      <c r="I112" s="8">
        <v>42</v>
      </c>
      <c r="J112" s="8">
        <v>432495480776.22705</v>
      </c>
      <c r="K112" s="8">
        <v>-158033820776.22705</v>
      </c>
      <c r="L112" s="8">
        <v>-0.44606426057967935</v>
      </c>
      <c r="N112" s="8">
        <v>44.623655913978496</v>
      </c>
      <c r="O112" s="8">
        <v>433842240000</v>
      </c>
      <c r="R112" s="6"/>
      <c r="S112" s="6"/>
    </row>
    <row r="113" spans="8:19" x14ac:dyDescent="0.2">
      <c r="H113" s="6"/>
      <c r="I113" s="8">
        <v>43</v>
      </c>
      <c r="J113" s="8">
        <v>436719446388.97571</v>
      </c>
      <c r="K113" s="8">
        <v>-154145226388.97571</v>
      </c>
      <c r="L113" s="8">
        <v>-0.43508836332222034</v>
      </c>
      <c r="N113" s="8">
        <v>45.698924731182792</v>
      </c>
      <c r="O113" s="8">
        <v>435810560000</v>
      </c>
      <c r="R113" s="6"/>
      <c r="S113" s="6"/>
    </row>
    <row r="114" spans="8:19" x14ac:dyDescent="0.2">
      <c r="H114" s="6"/>
      <c r="I114" s="8">
        <v>44</v>
      </c>
      <c r="J114" s="8">
        <v>442949795667.78027</v>
      </c>
      <c r="K114" s="8">
        <v>-290221165667.78027</v>
      </c>
      <c r="L114" s="8">
        <v>-0.81917458574566859</v>
      </c>
      <c r="N114" s="8">
        <v>46.774193548387096</v>
      </c>
      <c r="O114" s="8">
        <v>437464790000</v>
      </c>
      <c r="R114" s="6"/>
      <c r="S114" s="6"/>
    </row>
    <row r="115" spans="8:19" x14ac:dyDescent="0.2">
      <c r="H115" s="6"/>
      <c r="I115" s="8">
        <v>45</v>
      </c>
      <c r="J115" s="8">
        <v>431545088513.35864</v>
      </c>
      <c r="K115" s="8">
        <v>-206086928513.35864</v>
      </c>
      <c r="L115" s="8">
        <v>-0.58169835375059953</v>
      </c>
      <c r="N115" s="8">
        <v>47.8494623655914</v>
      </c>
      <c r="O115" s="8">
        <v>459010120000</v>
      </c>
      <c r="R115" s="6"/>
      <c r="S115" s="6"/>
    </row>
    <row r="116" spans="8:19" x14ac:dyDescent="0.2">
      <c r="H116" s="6"/>
      <c r="I116" s="8">
        <v>46</v>
      </c>
      <c r="J116" s="8">
        <v>393423798858.30103</v>
      </c>
      <c r="K116" s="8">
        <v>-33195288858.301025</v>
      </c>
      <c r="L116" s="8">
        <v>-9.369660181964265E-2</v>
      </c>
      <c r="N116" s="8">
        <v>48.924731182795696</v>
      </c>
      <c r="O116" s="8">
        <v>472099150000</v>
      </c>
      <c r="R116" s="6"/>
      <c r="S116" s="6"/>
    </row>
    <row r="117" spans="8:19" x14ac:dyDescent="0.2">
      <c r="H117" s="6"/>
      <c r="I117" s="8">
        <v>47</v>
      </c>
      <c r="J117" s="8">
        <v>439359424896.94373</v>
      </c>
      <c r="K117" s="8">
        <v>-279878414896.94373</v>
      </c>
      <c r="L117" s="8">
        <v>-0.78998126843996486</v>
      </c>
      <c r="N117" s="8">
        <v>50</v>
      </c>
      <c r="O117" s="8">
        <v>502179250000</v>
      </c>
      <c r="R117" s="6"/>
      <c r="S117" s="6"/>
    </row>
    <row r="118" spans="8:19" x14ac:dyDescent="0.2">
      <c r="H118" s="6"/>
      <c r="I118" s="8">
        <v>48</v>
      </c>
      <c r="J118" s="8">
        <v>421935566744.3551</v>
      </c>
      <c r="K118" s="8">
        <v>-187337206744.3551</v>
      </c>
      <c r="L118" s="8">
        <v>-0.52877562660342792</v>
      </c>
      <c r="N118" s="8">
        <v>51.075268817204297</v>
      </c>
      <c r="O118" s="8">
        <v>504487530000</v>
      </c>
      <c r="R118" s="6"/>
      <c r="S118" s="6"/>
    </row>
    <row r="119" spans="8:19" x14ac:dyDescent="0.2">
      <c r="H119" s="6"/>
      <c r="I119" s="8">
        <v>49</v>
      </c>
      <c r="J119" s="8">
        <v>373359962197.74438</v>
      </c>
      <c r="K119" s="8">
        <v>179696127802.25562</v>
      </c>
      <c r="L119" s="8">
        <v>0.5072080139772368</v>
      </c>
      <c r="N119" s="8">
        <v>52.1505376344086</v>
      </c>
      <c r="O119" s="8">
        <v>530212820000</v>
      </c>
      <c r="R119" s="6"/>
      <c r="S119" s="6"/>
    </row>
    <row r="120" spans="8:19" x14ac:dyDescent="0.2">
      <c r="H120" s="6"/>
      <c r="I120" s="8">
        <v>50</v>
      </c>
      <c r="J120" s="8">
        <v>426476329778.05994</v>
      </c>
      <c r="K120" s="8">
        <v>-126382669778.05994</v>
      </c>
      <c r="L120" s="8">
        <v>-0.35672612272319704</v>
      </c>
      <c r="N120" s="8">
        <v>53.225806451612904</v>
      </c>
      <c r="O120" s="8">
        <v>531533830000</v>
      </c>
      <c r="R120" s="6"/>
      <c r="S120" s="6"/>
    </row>
    <row r="121" spans="8:19" x14ac:dyDescent="0.2">
      <c r="H121" s="6"/>
      <c r="I121" s="8">
        <v>51</v>
      </c>
      <c r="J121" s="8">
        <v>456994481330.1698</v>
      </c>
      <c r="K121" s="8">
        <v>-320077761330.1698</v>
      </c>
      <c r="L121" s="8">
        <v>-0.90344743444448117</v>
      </c>
      <c r="N121" s="8">
        <v>54.3010752688172</v>
      </c>
      <c r="O121" s="8">
        <v>534436210000</v>
      </c>
      <c r="R121" s="6"/>
      <c r="S121" s="6"/>
    </row>
    <row r="122" spans="8:19" x14ac:dyDescent="0.2">
      <c r="H122" s="6"/>
      <c r="I122" s="8">
        <v>52</v>
      </c>
      <c r="J122" s="8">
        <v>455199295944.75159</v>
      </c>
      <c r="K122" s="8">
        <v>-188788905944.75159</v>
      </c>
      <c r="L122" s="8">
        <v>-0.53287317437660919</v>
      </c>
      <c r="N122" s="8">
        <v>55.376344086021504</v>
      </c>
      <c r="O122" s="8">
        <v>543856810000</v>
      </c>
      <c r="R122" s="6"/>
      <c r="S122" s="6"/>
    </row>
    <row r="123" spans="8:19" x14ac:dyDescent="0.2">
      <c r="H123" s="6"/>
      <c r="I123" s="8">
        <v>53</v>
      </c>
      <c r="J123" s="8">
        <v>450341735490.09045</v>
      </c>
      <c r="K123" s="8">
        <v>-242431515490.09045</v>
      </c>
      <c r="L123" s="8">
        <v>-0.68428412454459708</v>
      </c>
      <c r="N123" s="8">
        <v>56.451612903225801</v>
      </c>
      <c r="O123" s="8">
        <v>552675470000</v>
      </c>
      <c r="R123" s="6"/>
      <c r="S123" s="6"/>
    </row>
    <row r="124" spans="8:19" x14ac:dyDescent="0.2">
      <c r="H124" s="6"/>
      <c r="I124" s="8">
        <v>54</v>
      </c>
      <c r="J124" s="8">
        <v>456255287347.93884</v>
      </c>
      <c r="K124" s="8">
        <v>-287750057347.93884</v>
      </c>
      <c r="L124" s="8">
        <v>-0.81219966670562871</v>
      </c>
      <c r="N124" s="8">
        <v>57.526881720430104</v>
      </c>
      <c r="O124" s="8">
        <v>552706610000</v>
      </c>
      <c r="R124" s="6"/>
      <c r="S124" s="6"/>
    </row>
    <row r="125" spans="8:19" x14ac:dyDescent="0.2">
      <c r="H125" s="6"/>
      <c r="I125" s="8">
        <v>55</v>
      </c>
      <c r="J125" s="8">
        <v>478959102516.46338</v>
      </c>
      <c r="K125" s="8">
        <v>-226772802516.46338</v>
      </c>
      <c r="L125" s="8">
        <v>-0.64008603966692568</v>
      </c>
      <c r="N125" s="8">
        <v>58.602150537634408</v>
      </c>
      <c r="O125" s="8">
        <v>553056090000</v>
      </c>
      <c r="R125" s="6"/>
      <c r="S125" s="6"/>
    </row>
    <row r="126" spans="8:19" x14ac:dyDescent="0.2">
      <c r="H126" s="6"/>
      <c r="I126" s="8">
        <v>56</v>
      </c>
      <c r="J126" s="8">
        <v>524472331993.8313</v>
      </c>
      <c r="K126" s="8">
        <v>-345372601993.8313</v>
      </c>
      <c r="L126" s="8">
        <v>-0.97484433127135517</v>
      </c>
      <c r="N126" s="8">
        <v>59.677419354838705</v>
      </c>
      <c r="O126" s="8">
        <v>553192080000</v>
      </c>
      <c r="R126" s="6"/>
      <c r="S126" s="6"/>
    </row>
    <row r="127" spans="8:19" x14ac:dyDescent="0.2">
      <c r="H127" s="6"/>
      <c r="I127" s="8">
        <v>57</v>
      </c>
      <c r="J127" s="8">
        <v>473045550658.61511</v>
      </c>
      <c r="K127" s="8">
        <v>-268305700658.61511</v>
      </c>
      <c r="L127" s="8">
        <v>-0.75731627183186845</v>
      </c>
      <c r="N127" s="8">
        <v>60.752688172043008</v>
      </c>
      <c r="O127" s="8">
        <v>561078690000</v>
      </c>
      <c r="R127" s="6"/>
      <c r="S127" s="6"/>
    </row>
    <row r="128" spans="8:19" x14ac:dyDescent="0.2">
      <c r="H128" s="6"/>
      <c r="I128" s="8">
        <v>58</v>
      </c>
      <c r="J128" s="8">
        <v>504408495333.27466</v>
      </c>
      <c r="K128" s="8">
        <v>-210991085333.27466</v>
      </c>
      <c r="L128" s="8">
        <v>-0.59554076466554018</v>
      </c>
      <c r="N128" s="8">
        <v>61.827956989247312</v>
      </c>
      <c r="O128" s="8">
        <v>562228330000</v>
      </c>
      <c r="R128" s="6"/>
      <c r="S128" s="6"/>
    </row>
    <row r="129" spans="8:19" x14ac:dyDescent="0.2">
      <c r="H129" s="6"/>
      <c r="I129" s="8">
        <v>59</v>
      </c>
      <c r="J129" s="8">
        <v>521198758643.95105</v>
      </c>
      <c r="K129" s="8">
        <v>-355599468643.95105</v>
      </c>
      <c r="L129" s="8">
        <v>-1.0037105555259223</v>
      </c>
      <c r="N129" s="8">
        <v>62.903225806451609</v>
      </c>
      <c r="O129" s="8">
        <v>578729040000</v>
      </c>
      <c r="R129" s="6"/>
      <c r="S129" s="6"/>
    </row>
    <row r="130" spans="8:19" x14ac:dyDescent="0.2">
      <c r="H130" s="6"/>
      <c r="I130" s="8">
        <v>60</v>
      </c>
      <c r="J130" s="8">
        <v>618561166017.80994</v>
      </c>
      <c r="K130" s="8">
        <v>-184718926017.80994</v>
      </c>
      <c r="L130" s="8">
        <v>-0.52138530059257893</v>
      </c>
      <c r="N130" s="8">
        <v>63.978494623655912</v>
      </c>
      <c r="O130" s="8">
        <v>588826140000</v>
      </c>
      <c r="R130" s="6"/>
      <c r="S130" s="6"/>
    </row>
    <row r="131" spans="8:19" x14ac:dyDescent="0.2">
      <c r="H131" s="6"/>
      <c r="I131" s="8">
        <v>61</v>
      </c>
      <c r="J131" s="8">
        <v>655098468568.08667</v>
      </c>
      <c r="K131" s="8">
        <v>-235766158568.08667</v>
      </c>
      <c r="L131" s="8">
        <v>-0.66547057253206154</v>
      </c>
      <c r="N131" s="8">
        <v>65.053763440860209</v>
      </c>
      <c r="O131" s="8">
        <v>598942560000</v>
      </c>
      <c r="R131" s="6"/>
      <c r="S131" s="6"/>
    </row>
    <row r="132" spans="8:19" x14ac:dyDescent="0.2">
      <c r="H132" s="6"/>
      <c r="I132" s="8">
        <v>62</v>
      </c>
      <c r="J132" s="8">
        <v>633133847381.79321</v>
      </c>
      <c r="K132" s="8">
        <v>-281006287381.79321</v>
      </c>
      <c r="L132" s="8">
        <v>-0.7931647870280204</v>
      </c>
      <c r="N132" s="8">
        <v>66.129032258064512</v>
      </c>
      <c r="O132" s="8">
        <v>620659410000</v>
      </c>
      <c r="R132" s="6"/>
      <c r="S132" s="6"/>
    </row>
    <row r="133" spans="8:19" x14ac:dyDescent="0.2">
      <c r="H133" s="6"/>
      <c r="I133" s="8">
        <v>63</v>
      </c>
      <c r="J133" s="8">
        <v>597652536234.70361</v>
      </c>
      <c r="K133" s="8">
        <v>-18923496234.703613</v>
      </c>
      <c r="L133" s="8">
        <v>-5.3413220752713736E-2</v>
      </c>
      <c r="N133" s="8">
        <v>67.204301075268802</v>
      </c>
      <c r="O133" s="8">
        <v>644559090000</v>
      </c>
      <c r="R133" s="6"/>
      <c r="S133" s="6"/>
    </row>
    <row r="134" spans="8:19" x14ac:dyDescent="0.2">
      <c r="H134" s="6"/>
      <c r="I134" s="8">
        <v>64</v>
      </c>
      <c r="J134" s="8">
        <v>609268441669.7627</v>
      </c>
      <c r="K134" s="8">
        <v>-79055621669.762695</v>
      </c>
      <c r="L134" s="8">
        <v>-0.22314139626303525</v>
      </c>
      <c r="N134" s="8">
        <v>68.279569892473106</v>
      </c>
      <c r="O134" s="8">
        <v>670781500000</v>
      </c>
      <c r="R134" s="6"/>
      <c r="S134" s="6"/>
    </row>
    <row r="135" spans="8:19" x14ac:dyDescent="0.2">
      <c r="H135" s="6"/>
      <c r="I135" s="8">
        <v>65</v>
      </c>
      <c r="J135" s="8">
        <v>584875040256.13855</v>
      </c>
      <c r="K135" s="8">
        <v>170047389743.86145</v>
      </c>
      <c r="L135" s="8">
        <v>0.47997360816204793</v>
      </c>
      <c r="N135" s="8">
        <v>69.354838709677409</v>
      </c>
      <c r="O135" s="8">
        <v>684089840000</v>
      </c>
      <c r="R135" s="6"/>
      <c r="S135" s="6"/>
    </row>
    <row r="136" spans="8:19" x14ac:dyDescent="0.2">
      <c r="H136" s="6"/>
      <c r="I136" s="8">
        <v>66</v>
      </c>
      <c r="J136" s="8">
        <v>627959489506.17603</v>
      </c>
      <c r="K136" s="8">
        <v>-125780239506.17603</v>
      </c>
      <c r="L136" s="8">
        <v>-0.35502571066925309</v>
      </c>
      <c r="N136" s="8">
        <v>70.430107526881713</v>
      </c>
      <c r="O136" s="8">
        <v>689989310000</v>
      </c>
      <c r="R136" s="6"/>
      <c r="S136" s="6"/>
    </row>
    <row r="137" spans="8:19" x14ac:dyDescent="0.2">
      <c r="H137" s="6"/>
      <c r="I137" s="8">
        <v>67</v>
      </c>
      <c r="J137" s="8">
        <v>647812127886.09521</v>
      </c>
      <c r="K137" s="8">
        <v>-103955317886.09521</v>
      </c>
      <c r="L137" s="8">
        <v>-0.29342296337849544</v>
      </c>
      <c r="N137" s="8">
        <v>71.505376344086017</v>
      </c>
      <c r="O137" s="8">
        <v>699479420000</v>
      </c>
      <c r="R137" s="6"/>
      <c r="S137" s="6"/>
    </row>
    <row r="138" spans="8:19" x14ac:dyDescent="0.2">
      <c r="H138" s="6"/>
      <c r="I138" s="8">
        <v>68</v>
      </c>
      <c r="J138" s="8">
        <v>644960951097.48975</v>
      </c>
      <c r="K138" s="8">
        <v>-345140371097.48975</v>
      </c>
      <c r="L138" s="8">
        <v>-0.97418883928519961</v>
      </c>
      <c r="N138" s="8">
        <v>72.580645161290306</v>
      </c>
      <c r="O138" s="8">
        <v>754922430000</v>
      </c>
      <c r="R138" s="6"/>
      <c r="S138" s="6"/>
    </row>
    <row r="139" spans="8:19" x14ac:dyDescent="0.2">
      <c r="H139" s="6"/>
      <c r="I139" s="8">
        <v>69</v>
      </c>
      <c r="J139" s="8">
        <v>717613159636.76831</v>
      </c>
      <c r="K139" s="8">
        <v>-311892619636.76831</v>
      </c>
      <c r="L139" s="8">
        <v>-0.88034415718855175</v>
      </c>
      <c r="N139" s="8">
        <v>73.65591397849461</v>
      </c>
      <c r="O139" s="8">
        <v>757627400000</v>
      </c>
      <c r="R139" s="6"/>
      <c r="S139" s="6"/>
    </row>
    <row r="140" spans="8:19" x14ac:dyDescent="0.2">
      <c r="H140" s="6"/>
      <c r="I140" s="8">
        <v>70</v>
      </c>
      <c r="J140" s="8">
        <v>724371504617.1665</v>
      </c>
      <c r="K140" s="8">
        <v>-331976314617.1665</v>
      </c>
      <c r="L140" s="8">
        <v>-0.9370321402236792</v>
      </c>
      <c r="N140" s="8">
        <v>74.731182795698913</v>
      </c>
      <c r="O140" s="8">
        <v>770174060000</v>
      </c>
      <c r="R140" s="6"/>
      <c r="S140" s="6"/>
    </row>
    <row r="141" spans="8:19" x14ac:dyDescent="0.2">
      <c r="H141" s="6"/>
      <c r="I141" s="8">
        <v>71</v>
      </c>
      <c r="J141" s="8">
        <v>768511945270.39087</v>
      </c>
      <c r="K141" s="8">
        <v>-331047155270.39087</v>
      </c>
      <c r="L141" s="8">
        <v>-0.93440950682188961</v>
      </c>
      <c r="N141" s="8">
        <v>75.806451612903217</v>
      </c>
      <c r="O141" s="8">
        <v>773944750000</v>
      </c>
      <c r="R141" s="6"/>
      <c r="S141" s="6"/>
    </row>
    <row r="142" spans="8:19" x14ac:dyDescent="0.2">
      <c r="H142" s="6"/>
      <c r="I142" s="8">
        <v>72</v>
      </c>
      <c r="J142" s="8">
        <v>760908807167.44312</v>
      </c>
      <c r="K142" s="8">
        <v>-301898687167.44312</v>
      </c>
      <c r="L142" s="8">
        <v>-0.85213541000192805</v>
      </c>
      <c r="N142" s="8">
        <v>76.881720430107521</v>
      </c>
      <c r="O142" s="8">
        <v>790972300000</v>
      </c>
      <c r="R142" s="6"/>
      <c r="S142" s="6"/>
    </row>
    <row r="143" spans="8:19" x14ac:dyDescent="0.2">
      <c r="H143" s="6"/>
      <c r="I143" s="8">
        <v>73</v>
      </c>
      <c r="J143" s="8">
        <v>797340510577.40125</v>
      </c>
      <c r="K143" s="8">
        <v>-459732080577.40125</v>
      </c>
      <c r="L143" s="8">
        <v>-1.2976339468365536</v>
      </c>
      <c r="N143" s="8">
        <v>77.95698924731181</v>
      </c>
      <c r="O143" s="8">
        <v>799598550000</v>
      </c>
      <c r="R143" s="6"/>
      <c r="S143" s="6"/>
    </row>
    <row r="144" spans="8:19" x14ac:dyDescent="0.2">
      <c r="H144" s="6"/>
      <c r="I144" s="8">
        <v>74</v>
      </c>
      <c r="J144" s="8">
        <v>755945647572.46338</v>
      </c>
      <c r="K144" s="8">
        <v>-433028517572.46338</v>
      </c>
      <c r="L144" s="8">
        <v>-1.2222608081746278</v>
      </c>
      <c r="N144" s="8">
        <v>79.032258064516114</v>
      </c>
      <c r="O144" s="8">
        <v>810694080000</v>
      </c>
      <c r="R144" s="6"/>
      <c r="S144" s="6"/>
    </row>
    <row r="145" spans="8:19" x14ac:dyDescent="0.2">
      <c r="H145" s="6"/>
      <c r="I145" s="8">
        <v>75</v>
      </c>
      <c r="J145" s="8">
        <v>775692686812.06384</v>
      </c>
      <c r="K145" s="8">
        <v>-489002866812.06384</v>
      </c>
      <c r="L145" s="8">
        <v>-1.3802532972655899</v>
      </c>
      <c r="N145" s="8">
        <v>80.107526881720418</v>
      </c>
      <c r="O145" s="8">
        <v>873603110000</v>
      </c>
      <c r="R145" s="6"/>
      <c r="S145" s="6"/>
    </row>
    <row r="146" spans="8:19" x14ac:dyDescent="0.2">
      <c r="H146" s="6"/>
      <c r="I146" s="8">
        <v>76</v>
      </c>
      <c r="J146" s="8">
        <v>778385464890.19116</v>
      </c>
      <c r="K146" s="8">
        <v>-478152354890.19116</v>
      </c>
      <c r="L146" s="8">
        <v>-1.3496267797671964</v>
      </c>
      <c r="N146" s="8">
        <v>81.182795698924721</v>
      </c>
      <c r="O146" s="8">
        <v>878966510000</v>
      </c>
      <c r="R146" s="6"/>
      <c r="S146" s="6"/>
    </row>
    <row r="147" spans="8:19" x14ac:dyDescent="0.2">
      <c r="H147" s="6"/>
      <c r="I147" s="8">
        <v>77</v>
      </c>
      <c r="J147" s="8">
        <v>779916652424.81262</v>
      </c>
      <c r="K147" s="8">
        <v>-441271322424.81262</v>
      </c>
      <c r="L147" s="8">
        <v>-1.2455268447325369</v>
      </c>
      <c r="N147" s="8">
        <v>82.258064516129025</v>
      </c>
      <c r="O147" s="8">
        <v>883378010000</v>
      </c>
      <c r="R147" s="6"/>
      <c r="S147" s="6"/>
    </row>
    <row r="148" spans="8:19" x14ac:dyDescent="0.2">
      <c r="H148" s="6"/>
      <c r="I148" s="8">
        <v>78</v>
      </c>
      <c r="J148" s="8">
        <v>767191956016.40698</v>
      </c>
      <c r="K148" s="8">
        <v>-262704426016.40698</v>
      </c>
      <c r="L148" s="8">
        <v>-0.74150618498268595</v>
      </c>
      <c r="N148" s="8">
        <v>83.333333333333329</v>
      </c>
      <c r="O148" s="8">
        <v>909928850000</v>
      </c>
      <c r="R148" s="6"/>
      <c r="S148" s="6"/>
    </row>
    <row r="149" spans="8:19" x14ac:dyDescent="0.2">
      <c r="H149" s="6"/>
      <c r="I149" s="8">
        <v>79</v>
      </c>
      <c r="J149" s="8">
        <v>733664228965.21362</v>
      </c>
      <c r="K149" s="8">
        <v>-180957618965.21362</v>
      </c>
      <c r="L149" s="8">
        <v>-0.51076868295346467</v>
      </c>
      <c r="N149" s="8">
        <v>84.408602150537618</v>
      </c>
      <c r="O149" s="8">
        <v>956736250000</v>
      </c>
      <c r="R149" s="6"/>
      <c r="S149" s="6"/>
    </row>
    <row r="150" spans="8:19" x14ac:dyDescent="0.2">
      <c r="H150" s="6"/>
      <c r="I150" s="8">
        <v>80</v>
      </c>
      <c r="J150" s="8">
        <v>705997254201.70923</v>
      </c>
      <c r="K150" s="8">
        <v>172969255798.29077</v>
      </c>
      <c r="L150" s="8">
        <v>0.48822083027361973</v>
      </c>
      <c r="N150" s="8">
        <v>85.483870967741922</v>
      </c>
      <c r="O150" s="8">
        <v>965851250000</v>
      </c>
      <c r="R150" s="6"/>
      <c r="S150" s="6"/>
    </row>
    <row r="151" spans="8:19" x14ac:dyDescent="0.2">
      <c r="H151" s="6"/>
      <c r="I151" s="8">
        <v>81</v>
      </c>
      <c r="J151" s="8">
        <v>746336125803.45996</v>
      </c>
      <c r="K151" s="8">
        <v>-157509985803.45996</v>
      </c>
      <c r="L151" s="8">
        <v>-0.4445856906213918</v>
      </c>
      <c r="N151" s="8">
        <v>86.559139784946225</v>
      </c>
      <c r="O151" s="8">
        <v>1045976670000</v>
      </c>
      <c r="R151" s="6"/>
      <c r="S151" s="6"/>
    </row>
    <row r="152" spans="8:19" x14ac:dyDescent="0.2">
      <c r="H152" s="6"/>
      <c r="I152" s="8">
        <v>82</v>
      </c>
      <c r="J152" s="8">
        <v>704994062368.6814</v>
      </c>
      <c r="K152" s="8">
        <v>105700017631.3186</v>
      </c>
      <c r="L152" s="8">
        <v>0.29834753077782833</v>
      </c>
      <c r="N152" s="8">
        <v>87.634408602150529</v>
      </c>
      <c r="O152" s="8">
        <v>1064257460000</v>
      </c>
      <c r="R152" s="6"/>
      <c r="S152" s="6"/>
    </row>
    <row r="153" spans="8:19" x14ac:dyDescent="0.2">
      <c r="H153" s="6"/>
      <c r="I153" s="8">
        <v>83</v>
      </c>
      <c r="J153" s="8">
        <v>699766904922.90479</v>
      </c>
      <c r="K153" s="8">
        <v>-138688214922.90479</v>
      </c>
      <c r="L153" s="8">
        <v>-0.39145959856465945</v>
      </c>
      <c r="N153" s="8">
        <v>88.709677419354833</v>
      </c>
      <c r="O153" s="8">
        <v>1095103330000</v>
      </c>
      <c r="R153" s="6"/>
      <c r="S153" s="6"/>
    </row>
    <row r="154" spans="8:19" x14ac:dyDescent="0.2">
      <c r="H154" s="6"/>
      <c r="I154" s="8">
        <v>84</v>
      </c>
      <c r="J154" s="8">
        <v>676112697491.51172</v>
      </c>
      <c r="K154" s="8">
        <v>114859602508.48828</v>
      </c>
      <c r="L154" s="8">
        <v>0.32420125902019531</v>
      </c>
      <c r="N154" s="8">
        <v>89.784946236559122</v>
      </c>
      <c r="O154" s="8">
        <v>1117892430000</v>
      </c>
      <c r="R154" s="6"/>
      <c r="S154" s="6"/>
    </row>
    <row r="155" spans="8:19" x14ac:dyDescent="0.2">
      <c r="H155" s="6"/>
      <c r="I155" s="8">
        <v>85</v>
      </c>
      <c r="J155" s="8">
        <v>670093546493.34473</v>
      </c>
      <c r="K155" s="8">
        <v>-270423566493.34473</v>
      </c>
      <c r="L155" s="8">
        <v>-0.76329413310824235</v>
      </c>
      <c r="N155" s="8">
        <v>90.860215053763426</v>
      </c>
      <c r="O155" s="8">
        <v>1203587690000</v>
      </c>
      <c r="R155" s="6"/>
      <c r="S155" s="6"/>
    </row>
    <row r="156" spans="8:19" x14ac:dyDescent="0.2">
      <c r="H156" s="6"/>
      <c r="I156" s="8">
        <v>86</v>
      </c>
      <c r="J156" s="8">
        <v>664813589477.40894</v>
      </c>
      <c r="K156" s="8">
        <v>134784960522.59106</v>
      </c>
      <c r="L156" s="8">
        <v>0.38044232214004087</v>
      </c>
      <c r="N156" s="8">
        <v>91.93548387096773</v>
      </c>
      <c r="O156" s="8">
        <v>1215936210000</v>
      </c>
      <c r="R156" s="6"/>
      <c r="S156" s="6"/>
    </row>
    <row r="157" spans="8:19" x14ac:dyDescent="0.2">
      <c r="H157" s="6"/>
      <c r="I157" s="8">
        <v>87</v>
      </c>
      <c r="J157" s="8">
        <v>697232525555.25562</v>
      </c>
      <c r="K157" s="8">
        <v>-98289965555.255615</v>
      </c>
      <c r="L157" s="8">
        <v>-0.27743201165710618</v>
      </c>
      <c r="N157" s="8">
        <v>93.010752688172033</v>
      </c>
      <c r="O157" s="8">
        <v>1219984610000</v>
      </c>
      <c r="R157" s="6"/>
      <c r="S157" s="6"/>
    </row>
    <row r="158" spans="8:19" x14ac:dyDescent="0.2">
      <c r="H158" s="6"/>
      <c r="I158" s="8">
        <v>88</v>
      </c>
      <c r="J158" s="8">
        <v>810540403117.24121</v>
      </c>
      <c r="K158" s="8">
        <v>929588916882.75879</v>
      </c>
      <c r="L158" s="8">
        <v>2.6238459009322983</v>
      </c>
      <c r="N158" s="8">
        <v>94.086021505376337</v>
      </c>
      <c r="O158" s="8">
        <v>1337467810000</v>
      </c>
      <c r="R158" s="6"/>
      <c r="S158" s="6"/>
    </row>
    <row r="159" spans="8:19" x14ac:dyDescent="0.2">
      <c r="H159" s="6"/>
      <c r="I159" s="8">
        <v>89</v>
      </c>
      <c r="J159" s="8">
        <v>786252600843.93579</v>
      </c>
      <c r="K159" s="8">
        <v>637589299156.06421</v>
      </c>
      <c r="L159" s="8">
        <v>1.7996514789342408</v>
      </c>
      <c r="N159" s="8">
        <v>95.161290322580641</v>
      </c>
      <c r="O159" s="8">
        <v>1423841900000</v>
      </c>
      <c r="R159" s="6"/>
      <c r="S159" s="6"/>
    </row>
    <row r="160" spans="8:19" x14ac:dyDescent="0.2">
      <c r="H160" s="6"/>
      <c r="I160" s="8">
        <v>90</v>
      </c>
      <c r="J160" s="8">
        <v>771363122058.99634</v>
      </c>
      <c r="K160" s="8">
        <v>-218171042058.99634</v>
      </c>
      <c r="L160" s="8">
        <v>-0.61580681956519445</v>
      </c>
      <c r="N160" s="8">
        <v>96.23655913978493</v>
      </c>
      <c r="O160" s="8">
        <v>1581562680000</v>
      </c>
      <c r="R160" s="6"/>
      <c r="S160" s="6"/>
    </row>
    <row r="161" spans="8:19" x14ac:dyDescent="0.2">
      <c r="H161" s="6"/>
      <c r="I161" s="8">
        <v>91</v>
      </c>
      <c r="J161" s="8">
        <v>784668613739.15503</v>
      </c>
      <c r="K161" s="8">
        <v>-140109523739.15503</v>
      </c>
      <c r="L161" s="8">
        <v>-0.39547136682452938</v>
      </c>
      <c r="N161" s="8">
        <v>97.311827956989234</v>
      </c>
      <c r="O161" s="8">
        <v>1718001780000</v>
      </c>
      <c r="R161" s="6"/>
      <c r="S161" s="6"/>
    </row>
    <row r="162" spans="8:19" x14ac:dyDescent="0.2">
      <c r="H162" s="6"/>
      <c r="I162" s="8">
        <v>92</v>
      </c>
      <c r="J162" s="8">
        <v>745544132251.06958</v>
      </c>
      <c r="K162" s="8">
        <v>128058977748.93042</v>
      </c>
      <c r="L162" s="8">
        <v>0.36145764836661581</v>
      </c>
      <c r="N162" s="8">
        <v>98.387096774193537</v>
      </c>
      <c r="O162" s="8">
        <v>1740129320000</v>
      </c>
      <c r="R162" s="6"/>
      <c r="S162" s="6"/>
    </row>
    <row r="163" spans="8:19" ht="17" thickBot="1" x14ac:dyDescent="0.25">
      <c r="H163" s="6"/>
      <c r="I163" s="9">
        <v>93</v>
      </c>
      <c r="J163" s="9">
        <v>775164691110.47021</v>
      </c>
      <c r="K163" s="9">
        <v>190686558889.52979</v>
      </c>
      <c r="L163" s="9">
        <v>0.53822946553942264</v>
      </c>
      <c r="N163" s="9">
        <v>99.462365591397841</v>
      </c>
      <c r="O163" s="9">
        <v>1901970000000</v>
      </c>
      <c r="R163" s="6"/>
      <c r="S163" s="6"/>
    </row>
    <row r="164" spans="8:19" x14ac:dyDescent="0.2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8:19" x14ac:dyDescent="0.2"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8:19" x14ac:dyDescent="0.2"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8:19" x14ac:dyDescent="0.2"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8:19" x14ac:dyDescent="0.2"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8:19" x14ac:dyDescent="0.2"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8:19" x14ac:dyDescent="0.2"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</sheetData>
  <sortState xmlns:xlrd2="http://schemas.microsoft.com/office/spreadsheetml/2017/richdata2" ref="O71:O163">
    <sortCondition ref="O71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Сбербанк</vt:lpstr>
      <vt:lpstr>Газпром</vt:lpstr>
      <vt:lpstr>ВТБ</vt:lpstr>
      <vt:lpstr>ИсхТаблица</vt:lpstr>
      <vt:lpstr>k0</vt:lpstr>
      <vt:lpstr>k0_g</vt:lpstr>
      <vt:lpstr>k0_v</vt:lpstr>
      <vt:lpstr>k1_</vt:lpstr>
      <vt:lpstr>k1_g</vt:lpstr>
      <vt:lpstr>k1_v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2021-09-15T09:07:12Z</dcterms:created>
  <dcterms:modified xsi:type="dcterms:W3CDTF">2021-09-20T07:55:23Z</dcterms:modified>
</cp:coreProperties>
</file>