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19200" windowHeight="11640"/>
  </bookViews>
  <sheets>
    <sheet name="98S1" sheetId="7" r:id="rId1"/>
  </sheets>
  <calcPr calcId="125725"/>
</workbook>
</file>

<file path=xl/calcChain.xml><?xml version="1.0" encoding="utf-8"?>
<calcChain xmlns="http://schemas.openxmlformats.org/spreadsheetml/2006/main">
  <c r="C4" i="7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S33"/>
  <c r="S3"/>
  <c r="H37"/>
  <c r="H38"/>
  <c r="S38" s="1"/>
  <c r="H39"/>
  <c r="S39" s="1"/>
  <c r="H40"/>
  <c r="S40" s="1"/>
  <c r="H41"/>
  <c r="S41" s="1"/>
  <c r="H42"/>
  <c r="S42" s="1"/>
  <c r="H43"/>
  <c r="S43" s="1"/>
  <c r="H44"/>
  <c r="H36"/>
  <c r="S36" s="1"/>
  <c r="F44"/>
  <c r="E44"/>
  <c r="D44"/>
  <c r="F43"/>
  <c r="E43"/>
  <c r="D43"/>
  <c r="G42"/>
  <c r="F42"/>
  <c r="E42"/>
  <c r="D42"/>
  <c r="F41"/>
  <c r="E41"/>
  <c r="D41"/>
  <c r="F40"/>
  <c r="E40"/>
  <c r="D40"/>
  <c r="G39"/>
  <c r="F39"/>
  <c r="E39"/>
  <c r="F38"/>
  <c r="E38"/>
  <c r="D38"/>
  <c r="F37"/>
  <c r="E37"/>
  <c r="D37"/>
  <c r="G36"/>
  <c r="F36"/>
  <c r="E36"/>
  <c r="D36"/>
  <c r="H35"/>
  <c r="S35" s="1"/>
  <c r="F35"/>
  <c r="E35"/>
  <c r="D35"/>
  <c r="H34"/>
  <c r="S34" s="1"/>
  <c r="F34"/>
  <c r="E34"/>
  <c r="D3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L3"/>
  <c r="F4"/>
  <c r="E5"/>
  <c r="E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H5"/>
  <c r="S5" s="1"/>
  <c r="H4"/>
  <c r="S4" s="1"/>
  <c r="G30"/>
  <c r="G27"/>
  <c r="G24"/>
  <c r="G21"/>
  <c r="G18"/>
  <c r="G15"/>
  <c r="D16"/>
  <c r="E16"/>
  <c r="H16"/>
  <c r="S16" s="1"/>
  <c r="D17"/>
  <c r="E17"/>
  <c r="H17"/>
  <c r="S17" s="1"/>
  <c r="D19"/>
  <c r="E19"/>
  <c r="H19"/>
  <c r="S19" s="1"/>
  <c r="D20"/>
  <c r="E20"/>
  <c r="H20"/>
  <c r="S20" s="1"/>
  <c r="D22"/>
  <c r="E22"/>
  <c r="H22"/>
  <c r="S22" s="1"/>
  <c r="D23"/>
  <c r="E23"/>
  <c r="H23"/>
  <c r="S23" s="1"/>
  <c r="D25"/>
  <c r="E25"/>
  <c r="H25"/>
  <c r="S25" s="1"/>
  <c r="D26"/>
  <c r="E26"/>
  <c r="H26"/>
  <c r="S26" s="1"/>
  <c r="D28"/>
  <c r="E28"/>
  <c r="H28"/>
  <c r="S28" s="1"/>
  <c r="D29"/>
  <c r="E29"/>
  <c r="H29"/>
  <c r="S29" s="1"/>
  <c r="D31"/>
  <c r="E31"/>
  <c r="H31"/>
  <c r="S31" s="1"/>
  <c r="D32"/>
  <c r="E32"/>
  <c r="H32"/>
  <c r="S32" s="1"/>
  <c r="D10"/>
  <c r="E10"/>
  <c r="H10"/>
  <c r="S10" s="1"/>
  <c r="D11"/>
  <c r="E11"/>
  <c r="H11"/>
  <c r="S11" s="1"/>
  <c r="E13"/>
  <c r="H13"/>
  <c r="S13" s="1"/>
  <c r="E14"/>
  <c r="H14"/>
  <c r="S14" s="1"/>
  <c r="D14"/>
  <c r="D13"/>
  <c r="D7"/>
  <c r="E7"/>
  <c r="H7"/>
  <c r="S7" s="1"/>
  <c r="D8"/>
  <c r="E8"/>
  <c r="H8"/>
  <c r="S8" s="1"/>
  <c r="D5"/>
  <c r="D4"/>
  <c r="H12"/>
  <c r="S12" s="1"/>
  <c r="H30"/>
  <c r="S30" s="1"/>
  <c r="E30"/>
  <c r="D30"/>
  <c r="H27"/>
  <c r="S27" s="1"/>
  <c r="E27"/>
  <c r="D27"/>
  <c r="H24"/>
  <c r="S24" s="1"/>
  <c r="E24"/>
  <c r="D24"/>
  <c r="H21"/>
  <c r="S21" s="1"/>
  <c r="E21"/>
  <c r="D21"/>
  <c r="H18"/>
  <c r="S18" s="1"/>
  <c r="E18"/>
  <c r="D18"/>
  <c r="H15"/>
  <c r="S15" s="1"/>
  <c r="E15"/>
  <c r="D15"/>
  <c r="G12"/>
  <c r="E12"/>
  <c r="H9"/>
  <c r="S9" s="1"/>
  <c r="G9"/>
  <c r="E9"/>
  <c r="D9"/>
  <c r="H6"/>
  <c r="S6" s="1"/>
  <c r="G6"/>
  <c r="E6"/>
  <c r="D6"/>
  <c r="I3"/>
  <c r="K3" s="1"/>
  <c r="N3" s="1"/>
  <c r="O3" s="1"/>
  <c r="I32" l="1"/>
  <c r="L5"/>
  <c r="I33"/>
  <c r="J33" s="1"/>
  <c r="Q33" s="1"/>
  <c r="L33"/>
  <c r="C34"/>
  <c r="C35" s="1"/>
  <c r="C36" s="1"/>
  <c r="C37" s="1"/>
  <c r="C38" s="1"/>
  <c r="C39" s="1"/>
  <c r="C40" s="1"/>
  <c r="C41" s="1"/>
  <c r="C42" s="1"/>
  <c r="C43" s="1"/>
  <c r="C44" s="1"/>
  <c r="L44" s="1"/>
  <c r="S44"/>
  <c r="S37"/>
  <c r="L8"/>
  <c r="L11"/>
  <c r="L32"/>
  <c r="L29"/>
  <c r="L26"/>
  <c r="L23"/>
  <c r="L20"/>
  <c r="L17"/>
  <c r="L12"/>
  <c r="L9"/>
  <c r="L15"/>
  <c r="L21"/>
  <c r="L27"/>
  <c r="L4"/>
  <c r="L13"/>
  <c r="L14"/>
  <c r="L18"/>
  <c r="L24"/>
  <c r="L30"/>
  <c r="L6"/>
  <c r="L7"/>
  <c r="L10"/>
  <c r="L31"/>
  <c r="L28"/>
  <c r="L25"/>
  <c r="L22"/>
  <c r="L19"/>
  <c r="L16"/>
  <c r="I5"/>
  <c r="I16"/>
  <c r="I4"/>
  <c r="I31"/>
  <c r="I28"/>
  <c r="I25"/>
  <c r="I17"/>
  <c r="I26"/>
  <c r="I29"/>
  <c r="I22"/>
  <c r="I19"/>
  <c r="I20"/>
  <c r="I7"/>
  <c r="I13"/>
  <c r="I10"/>
  <c r="I23"/>
  <c r="I11"/>
  <c r="I14"/>
  <c r="I8"/>
  <c r="I18"/>
  <c r="J3"/>
  <c r="Q3" s="1"/>
  <c r="I27"/>
  <c r="I12"/>
  <c r="I21"/>
  <c r="I30"/>
  <c r="I6"/>
  <c r="I24"/>
  <c r="I15"/>
  <c r="I9"/>
  <c r="L41" l="1"/>
  <c r="L43"/>
  <c r="I43"/>
  <c r="K43" s="1"/>
  <c r="N43" s="1"/>
  <c r="O43" s="1"/>
  <c r="I44"/>
  <c r="J44" s="1"/>
  <c r="Q44" s="1"/>
  <c r="I42"/>
  <c r="K42" s="1"/>
  <c r="N42" s="1"/>
  <c r="O42" s="1"/>
  <c r="K33"/>
  <c r="N33" s="1"/>
  <c r="O33" s="1"/>
  <c r="M33"/>
  <c r="R33" s="1"/>
  <c r="L39"/>
  <c r="L40"/>
  <c r="I35"/>
  <c r="J35" s="1"/>
  <c r="Q35" s="1"/>
  <c r="I38"/>
  <c r="K38" s="1"/>
  <c r="N38" s="1"/>
  <c r="O38" s="1"/>
  <c r="L42"/>
  <c r="I37"/>
  <c r="J37" s="1"/>
  <c r="M37" s="1"/>
  <c r="R37" s="1"/>
  <c r="I39"/>
  <c r="K39" s="1"/>
  <c r="N39" s="1"/>
  <c r="O39" s="1"/>
  <c r="I36"/>
  <c r="K36" s="1"/>
  <c r="N36" s="1"/>
  <c r="O36" s="1"/>
  <c r="L34"/>
  <c r="L35"/>
  <c r="I34"/>
  <c r="J34" s="1"/>
  <c r="Q34" s="1"/>
  <c r="L38"/>
  <c r="L37"/>
  <c r="L36"/>
  <c r="I40"/>
  <c r="J40" s="1"/>
  <c r="M40" s="1"/>
  <c r="R40" s="1"/>
  <c r="I41"/>
  <c r="S45"/>
  <c r="K40"/>
  <c r="N40" s="1"/>
  <c r="O40" s="1"/>
  <c r="M3"/>
  <c r="R3" s="1"/>
  <c r="K25"/>
  <c r="N25" s="1"/>
  <c r="J27"/>
  <c r="Q27" s="1"/>
  <c r="J10"/>
  <c r="Q10" s="1"/>
  <c r="J5"/>
  <c r="Q5" s="1"/>
  <c r="K23"/>
  <c r="N23" s="1"/>
  <c r="J26"/>
  <c r="Q26" s="1"/>
  <c r="J30"/>
  <c r="Q30" s="1"/>
  <c r="K11"/>
  <c r="N11" s="1"/>
  <c r="J29"/>
  <c r="Q29" s="1"/>
  <c r="J9"/>
  <c r="Q9" s="1"/>
  <c r="J17"/>
  <c r="Q17" s="1"/>
  <c r="J12"/>
  <c r="Q12" s="1"/>
  <c r="K6"/>
  <c r="N6" s="1"/>
  <c r="J14"/>
  <c r="Q14" s="1"/>
  <c r="K22"/>
  <c r="N22" s="1"/>
  <c r="J4"/>
  <c r="Q4" s="1"/>
  <c r="K7"/>
  <c r="N7" s="1"/>
  <c r="K13"/>
  <c r="N13" s="1"/>
  <c r="J32"/>
  <c r="Q32" s="1"/>
  <c r="K24"/>
  <c r="N24" s="1"/>
  <c r="K8"/>
  <c r="N8" s="1"/>
  <c r="J19"/>
  <c r="Q19" s="1"/>
  <c r="K31"/>
  <c r="N31" s="1"/>
  <c r="K15"/>
  <c r="N15" s="1"/>
  <c r="K18"/>
  <c r="N18" s="1"/>
  <c r="K20"/>
  <c r="N20" s="1"/>
  <c r="J28"/>
  <c r="Q28" s="1"/>
  <c r="K16"/>
  <c r="N16" s="1"/>
  <c r="K5"/>
  <c r="N5" s="1"/>
  <c r="O5" s="1"/>
  <c r="K28"/>
  <c r="N28" s="1"/>
  <c r="J16"/>
  <c r="Q16" s="1"/>
  <c r="J25"/>
  <c r="Q25" s="1"/>
  <c r="J31"/>
  <c r="Q31" s="1"/>
  <c r="K17"/>
  <c r="N17" s="1"/>
  <c r="K4"/>
  <c r="N4" s="1"/>
  <c r="O4" s="1"/>
  <c r="K10"/>
  <c r="N10" s="1"/>
  <c r="J22"/>
  <c r="Q22" s="1"/>
  <c r="J20"/>
  <c r="Q20" s="1"/>
  <c r="K29"/>
  <c r="N29" s="1"/>
  <c r="J13"/>
  <c r="Q13" s="1"/>
  <c r="K32"/>
  <c r="N32" s="1"/>
  <c r="K26"/>
  <c r="N26" s="1"/>
  <c r="K19"/>
  <c r="N19" s="1"/>
  <c r="J7"/>
  <c r="Q7" s="1"/>
  <c r="J23"/>
  <c r="Q23" s="1"/>
  <c r="J11"/>
  <c r="Q11" s="1"/>
  <c r="K14"/>
  <c r="N14" s="1"/>
  <c r="J8"/>
  <c r="Q8" s="1"/>
  <c r="J15"/>
  <c r="Q15" s="1"/>
  <c r="K9"/>
  <c r="N9" s="1"/>
  <c r="K30"/>
  <c r="N30" s="1"/>
  <c r="J18"/>
  <c r="Q18" s="1"/>
  <c r="K12"/>
  <c r="N12" s="1"/>
  <c r="J21"/>
  <c r="Q21" s="1"/>
  <c r="K27"/>
  <c r="N27" s="1"/>
  <c r="J24"/>
  <c r="Q24" s="1"/>
  <c r="K21"/>
  <c r="N21" s="1"/>
  <c r="J6"/>
  <c r="Q6" s="1"/>
  <c r="K34" l="1"/>
  <c r="N34" s="1"/>
  <c r="O34" s="1"/>
  <c r="J43"/>
  <c r="Q43" s="1"/>
  <c r="M35"/>
  <c r="R35" s="1"/>
  <c r="K44"/>
  <c r="N44" s="1"/>
  <c r="O44" s="1"/>
  <c r="J42"/>
  <c r="Q42" s="1"/>
  <c r="M44"/>
  <c r="R44" s="1"/>
  <c r="J36"/>
  <c r="Q36" s="1"/>
  <c r="J39"/>
  <c r="Q39" s="1"/>
  <c r="J41"/>
  <c r="K41"/>
  <c r="N41" s="1"/>
  <c r="O41" s="1"/>
  <c r="K37"/>
  <c r="N37" s="1"/>
  <c r="O37" s="1"/>
  <c r="Q37"/>
  <c r="Q40"/>
  <c r="J38"/>
  <c r="Q38" s="1"/>
  <c r="K35"/>
  <c r="N35" s="1"/>
  <c r="O35" s="1"/>
  <c r="M31"/>
  <c r="R31" s="1"/>
  <c r="M9"/>
  <c r="R9" s="1"/>
  <c r="M27"/>
  <c r="R27" s="1"/>
  <c r="M4"/>
  <c r="R4" s="1"/>
  <c r="M8"/>
  <c r="R8" s="1"/>
  <c r="M28"/>
  <c r="R28" s="1"/>
  <c r="M32"/>
  <c r="R32" s="1"/>
  <c r="M17"/>
  <c r="R17" s="1"/>
  <c r="M10"/>
  <c r="R10" s="1"/>
  <c r="M24"/>
  <c r="R24" s="1"/>
  <c r="M29"/>
  <c r="R29" s="1"/>
  <c r="M12"/>
  <c r="R12" s="1"/>
  <c r="M5"/>
  <c r="R5" s="1"/>
  <c r="M16"/>
  <c r="R16" s="1"/>
  <c r="M25"/>
  <c r="R25" s="1"/>
  <c r="M15"/>
  <c r="R15" s="1"/>
  <c r="M18"/>
  <c r="R18" s="1"/>
  <c r="M7"/>
  <c r="R7" s="1"/>
  <c r="M34"/>
  <c r="R34" s="1"/>
  <c r="M22"/>
  <c r="R22" s="1"/>
  <c r="M19"/>
  <c r="R19" s="1"/>
  <c r="M14"/>
  <c r="R14" s="1"/>
  <c r="M26"/>
  <c r="R26" s="1"/>
  <c r="M43"/>
  <c r="R43" s="1"/>
  <c r="M13"/>
  <c r="R13" s="1"/>
  <c r="M6"/>
  <c r="R6" s="1"/>
  <c r="M23"/>
  <c r="R23" s="1"/>
  <c r="M21"/>
  <c r="R21" s="1"/>
  <c r="M11"/>
  <c r="R11" s="1"/>
  <c r="M20"/>
  <c r="R20" s="1"/>
  <c r="M30"/>
  <c r="R30" s="1"/>
  <c r="O6"/>
  <c r="M38" l="1"/>
  <c r="R38" s="1"/>
  <c r="M39"/>
  <c r="R39" s="1"/>
  <c r="M36"/>
  <c r="R36" s="1"/>
  <c r="M42"/>
  <c r="R42" s="1"/>
  <c r="Q41"/>
  <c r="M41"/>
  <c r="R41" s="1"/>
  <c r="O7"/>
  <c r="R45" l="1"/>
  <c r="O8"/>
  <c r="O9" l="1"/>
  <c r="O10" l="1"/>
  <c r="O11" l="1"/>
  <c r="O12" l="1"/>
  <c r="O13" l="1"/>
  <c r="O14" l="1"/>
  <c r="O15" l="1"/>
  <c r="O16" l="1"/>
  <c r="O17" l="1"/>
  <c r="O18" l="1"/>
  <c r="O19" l="1"/>
  <c r="O20" l="1"/>
  <c r="O21" l="1"/>
  <c r="O22" l="1"/>
  <c r="O23" l="1"/>
  <c r="O24" l="1"/>
  <c r="O25" l="1"/>
  <c r="O26" l="1"/>
  <c r="O27" l="1"/>
  <c r="O28" l="1"/>
  <c r="O29" l="1"/>
  <c r="O30" l="1"/>
  <c r="O31" l="1"/>
  <c r="O32" l="1"/>
  <c r="E49"/>
  <c r="Q45"/>
  <c r="E50" l="1"/>
  <c r="E51" s="1"/>
</calcChain>
</file>

<file path=xl/sharedStrings.xml><?xml version="1.0" encoding="utf-8"?>
<sst xmlns="http://schemas.openxmlformats.org/spreadsheetml/2006/main" count="54" uniqueCount="51">
  <si>
    <t>Set times</t>
    <phoneticPr fontId="1" type="noConversion"/>
  </si>
  <si>
    <t>RSM const</t>
    <phoneticPr fontId="1" type="noConversion"/>
  </si>
  <si>
    <t>Voltage</t>
    <phoneticPr fontId="1" type="noConversion"/>
  </si>
  <si>
    <t>Current</t>
    <phoneticPr fontId="1" type="noConversion"/>
  </si>
  <si>
    <t>MUT const</t>
    <phoneticPr fontId="1" type="noConversion"/>
  </si>
  <si>
    <t>PF</t>
    <phoneticPr fontId="1" type="noConversion"/>
  </si>
  <si>
    <t>Uni/Unbal</t>
    <phoneticPr fontId="1" type="noConversion"/>
  </si>
  <si>
    <t>Circle</t>
    <phoneticPr fontId="1" type="noConversion"/>
  </si>
  <si>
    <t>RSM pulses</t>
    <phoneticPr fontId="1" type="noConversion"/>
  </si>
  <si>
    <t>RSM(kHz)</t>
    <phoneticPr fontId="1" type="noConversion"/>
  </si>
  <si>
    <t>Act(PPM)</t>
    <phoneticPr fontId="1" type="noConversion"/>
  </si>
  <si>
    <t>EEM(Circle)</t>
    <phoneticPr fontId="1" type="noConversion"/>
  </si>
  <si>
    <t>Time1</t>
    <phoneticPr fontId="1" type="noConversion"/>
  </si>
  <si>
    <t>Time2</t>
    <phoneticPr fontId="1" type="noConversion"/>
  </si>
  <si>
    <t>Time3</t>
    <phoneticPr fontId="1" type="noConversion"/>
  </si>
  <si>
    <t>Warm up time</t>
    <phoneticPr fontId="1" type="noConversion"/>
  </si>
  <si>
    <t>Test time for active</t>
    <phoneticPr fontId="1" type="noConversion"/>
  </si>
  <si>
    <t>Test time*2</t>
    <phoneticPr fontId="1" type="noConversion"/>
  </si>
  <si>
    <t>Act(time)</t>
    <phoneticPr fontId="1" type="noConversion"/>
  </si>
  <si>
    <t>Error samples</t>
    <phoneticPr fontId="1" type="noConversion"/>
  </si>
  <si>
    <t>Source stable times</t>
    <phoneticPr fontId="1" type="noConversion"/>
  </si>
  <si>
    <t>Test point for active</t>
    <phoneticPr fontId="1" type="noConversion"/>
  </si>
  <si>
    <t>s</t>
    <phoneticPr fontId="1" type="noConversion"/>
  </si>
  <si>
    <t>负载点预热时间</t>
    <phoneticPr fontId="1" type="noConversion"/>
  </si>
  <si>
    <t>误差保存个数</t>
    <phoneticPr fontId="1" type="noConversion"/>
  </si>
  <si>
    <t>控源通讯时间</t>
    <phoneticPr fontId="1" type="noConversion"/>
  </si>
  <si>
    <t>有功负载点个数</t>
    <phoneticPr fontId="1" type="noConversion"/>
  </si>
  <si>
    <t>有功测试时间</t>
    <phoneticPr fontId="1" type="noConversion"/>
  </si>
  <si>
    <t>有功无功合计测试时间</t>
    <phoneticPr fontId="1" type="noConversion"/>
  </si>
  <si>
    <t>Control ppm</t>
    <phoneticPr fontId="1" type="noConversion"/>
  </si>
  <si>
    <t>MTU(Hz)</t>
    <phoneticPr fontId="1" type="noConversion"/>
  </si>
  <si>
    <t>量化误差
quantization error</t>
    <phoneticPr fontId="1" type="noConversion"/>
  </si>
  <si>
    <t>标准表常数
Standard meter constant(kwh)</t>
    <phoneticPr fontId="1" type="noConversion"/>
  </si>
  <si>
    <t>电压
Voltage</t>
    <phoneticPr fontId="1" type="noConversion"/>
  </si>
  <si>
    <t>电流
Current</t>
    <phoneticPr fontId="1" type="noConversion"/>
  </si>
  <si>
    <t>功率因素
Power factor</t>
    <phoneticPr fontId="1" type="noConversion"/>
  </si>
  <si>
    <t>设定时间
Set time</t>
    <phoneticPr fontId="1" type="noConversion"/>
  </si>
  <si>
    <t>常数
Meter constant</t>
    <phoneticPr fontId="1" type="noConversion"/>
  </si>
  <si>
    <r>
      <rPr>
        <sz val="9"/>
        <color theme="1"/>
        <rFont val="宋体"/>
        <family val="2"/>
        <charset val="134"/>
      </rPr>
      <t>分元</t>
    </r>
    <r>
      <rPr>
        <sz val="9"/>
        <color theme="1"/>
        <rFont val="Arial"/>
        <family val="2"/>
      </rPr>
      <t>1/</t>
    </r>
    <r>
      <rPr>
        <sz val="9"/>
        <color theme="1"/>
        <rFont val="宋体"/>
        <family val="2"/>
        <charset val="134"/>
      </rPr>
      <t>合元</t>
    </r>
    <r>
      <rPr>
        <sz val="9"/>
        <color theme="1"/>
        <rFont val="Arial"/>
        <family val="2"/>
      </rPr>
      <t>3
Balance(3)/Unbalance(1)</t>
    </r>
    <phoneticPr fontId="1" type="noConversion"/>
  </si>
  <si>
    <t>圈数
Test circles/ pulses</t>
    <phoneticPr fontId="1" type="noConversion"/>
  </si>
  <si>
    <t>测试时间
Test time</t>
    <phoneticPr fontId="1" type="noConversion"/>
  </si>
  <si>
    <t>高频个数
Standard meter pulses</t>
    <phoneticPr fontId="1" type="noConversion"/>
  </si>
  <si>
    <t>实际圈数
Actual number</t>
    <phoneticPr fontId="1" type="noConversion"/>
  </si>
  <si>
    <t>等待时间
Wait time</t>
    <phoneticPr fontId="1" type="noConversion"/>
  </si>
  <si>
    <t>残余时间
Residual time</t>
    <phoneticPr fontId="1" type="noConversion"/>
  </si>
  <si>
    <r>
      <rPr>
        <sz val="10"/>
        <color theme="1"/>
        <rFont val="宋体"/>
        <family val="2"/>
        <charset val="134"/>
      </rPr>
      <t>高频</t>
    </r>
    <r>
      <rPr>
        <sz val="10"/>
        <color theme="1"/>
        <rFont val="Arial"/>
        <family val="2"/>
      </rPr>
      <t>(kHz)
Hi freq.</t>
    </r>
    <phoneticPr fontId="1" type="noConversion"/>
  </si>
  <si>
    <r>
      <rPr>
        <sz val="10"/>
        <color theme="1"/>
        <rFont val="宋体"/>
        <family val="2"/>
        <charset val="134"/>
      </rPr>
      <t>低频</t>
    </r>
    <r>
      <rPr>
        <sz val="10"/>
        <color theme="1"/>
        <rFont val="Arial"/>
        <family val="2"/>
      </rPr>
      <t>(Hz)
Low freq.</t>
    </r>
    <phoneticPr fontId="1" type="noConversion"/>
  </si>
  <si>
    <r>
      <rPr>
        <sz val="10"/>
        <color theme="1"/>
        <rFont val="宋体"/>
        <family val="2"/>
        <charset val="134"/>
      </rPr>
      <t>量化</t>
    </r>
    <r>
      <rPr>
        <sz val="10"/>
        <color theme="1"/>
        <rFont val="Arial"/>
        <family val="2"/>
      </rPr>
      <t>(ppm)
quantization</t>
    </r>
    <phoneticPr fontId="1" type="noConversion"/>
  </si>
  <si>
    <r>
      <rPr>
        <sz val="11"/>
        <color theme="1"/>
        <rFont val="宋体"/>
        <family val="2"/>
        <charset val="134"/>
      </rPr>
      <t>量化误差等于被检表等级的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2"/>
        <charset val="134"/>
      </rPr>
      <t>分之一，测试时间大于等于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2"/>
        <charset val="134"/>
      </rPr>
      <t>秒，小电流可以适当延长。</t>
    </r>
    <r>
      <rPr>
        <sz val="11"/>
        <color theme="1"/>
        <rFont val="Arial"/>
        <family val="2"/>
      </rPr>
      <t>(The quantization error is equal to 1/10 of the meter level, the test time is greater than or equal to 10 seconds, small current can be appropriately extended.)</t>
    </r>
    <phoneticPr fontId="1" type="noConversion"/>
  </si>
  <si>
    <r>
      <rPr>
        <sz val="11"/>
        <color theme="1"/>
        <rFont val="Arial Unicode MS"/>
        <family val="2"/>
        <charset val="134"/>
      </rPr>
      <t>满足上述条件前提下，计算实际圈数。</t>
    </r>
    <r>
      <rPr>
        <sz val="11"/>
        <color theme="1"/>
        <rFont val="Arial"/>
        <family val="2"/>
      </rPr>
      <t>(If the above conditions are met, the actual circle / pluse number is calculated.)</t>
    </r>
    <phoneticPr fontId="1" type="noConversion"/>
  </si>
  <si>
    <t>圈数根据标准表常数，测试电流，测试相序，功率因素自动调整 (The number is automatically adjusted according to standard meter constant, test current, test phase sequence, and power factors)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</si>
</sst>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.00_ "/>
    <numFmt numFmtId="178" formatCode="0.0_ "/>
    <numFmt numFmtId="179" formatCode="h&quot;时&quot;mm&quot;分&quot;;@"/>
    <numFmt numFmtId="180" formatCode="h:mm:ss;@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0"/>
      <color theme="1"/>
      <name val="宋体"/>
      <family val="2"/>
      <charset val="134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sz val="11"/>
      <color theme="1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9" fontId="2" fillId="0" borderId="0" xfId="0" applyNumberFormat="1" applyFont="1" applyAlignment="1">
      <alignment horizontal="right" vertical="center"/>
    </xf>
    <xf numFmtId="18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1" fontId="2" fillId="3" borderId="0" xfId="0" applyNumberFormat="1" applyFont="1" applyFill="1" applyAlignment="1">
      <alignment horizontal="right" vertical="center"/>
    </xf>
    <xf numFmtId="176" fontId="2" fillId="3" borderId="0" xfId="0" applyNumberFormat="1" applyFont="1" applyFill="1" applyAlignment="1">
      <alignment horizontal="right" vertical="center"/>
    </xf>
    <xf numFmtId="0" fontId="2" fillId="3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78" fontId="2" fillId="5" borderId="0" xfId="0" applyNumberFormat="1" applyFont="1" applyFill="1" applyAlignment="1">
      <alignment horizontal="right" vertical="center"/>
    </xf>
    <xf numFmtId="176" fontId="2" fillId="5" borderId="0" xfId="0" applyNumberFormat="1" applyFont="1" applyFill="1" applyAlignment="1">
      <alignment horizontal="right" vertical="center"/>
    </xf>
    <xf numFmtId="177" fontId="2" fillId="5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6" fontId="2" fillId="4" borderId="0" xfId="0" applyNumberFormat="1" applyFont="1" applyFill="1" applyAlignment="1">
      <alignment horizontal="right" vertical="center"/>
    </xf>
    <xf numFmtId="0" fontId="2" fillId="4" borderId="0" xfId="0" applyNumberFormat="1" applyFont="1" applyFill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6"/>
  <sheetViews>
    <sheetView tabSelected="1" zoomScale="130" zoomScaleNormal="130" workbookViewId="0">
      <selection activeCell="I58" sqref="I58"/>
    </sheetView>
  </sheetViews>
  <sheetFormatPr defaultRowHeight="14.25"/>
  <cols>
    <col min="1" max="1" width="10.75" style="3" customWidth="1"/>
    <col min="2" max="2" width="14" style="3" customWidth="1"/>
    <col min="3" max="14" width="10.625" style="3" customWidth="1"/>
    <col min="15" max="15" width="11.25" style="3" customWidth="1"/>
    <col min="16" max="16" width="4.625" style="3" customWidth="1"/>
    <col min="17" max="17" width="9.25" style="3" bestFit="1" customWidth="1"/>
    <col min="18" max="19" width="9.125" style="3" bestFit="1" customWidth="1"/>
    <col min="20" max="16384" width="9" style="3"/>
  </cols>
  <sheetData>
    <row r="1" spans="1:19" ht="48">
      <c r="A1" s="21" t="s">
        <v>31</v>
      </c>
      <c r="B1" s="24" t="s">
        <v>32</v>
      </c>
      <c r="C1" s="20" t="s">
        <v>33</v>
      </c>
      <c r="D1" s="20" t="s">
        <v>34</v>
      </c>
      <c r="E1" s="24" t="s">
        <v>37</v>
      </c>
      <c r="F1" s="24" t="s">
        <v>36</v>
      </c>
      <c r="G1" s="24" t="s">
        <v>35</v>
      </c>
      <c r="H1" s="23" t="s">
        <v>38</v>
      </c>
      <c r="I1" s="24" t="s">
        <v>39</v>
      </c>
      <c r="J1" s="21" t="s">
        <v>40</v>
      </c>
      <c r="K1" s="21" t="s">
        <v>41</v>
      </c>
      <c r="L1" s="22" t="s">
        <v>45</v>
      </c>
      <c r="M1" s="22" t="s">
        <v>46</v>
      </c>
      <c r="N1" s="22" t="s">
        <v>47</v>
      </c>
      <c r="O1" s="20" t="s">
        <v>42</v>
      </c>
      <c r="Q1" s="24" t="s">
        <v>40</v>
      </c>
      <c r="R1" s="24" t="s">
        <v>44</v>
      </c>
      <c r="S1" s="24" t="s">
        <v>43</v>
      </c>
    </row>
    <row r="2" spans="1:19">
      <c r="A2" s="3" t="s">
        <v>29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  <c r="G2" s="3" t="s">
        <v>5</v>
      </c>
      <c r="H2" s="3" t="s">
        <v>6</v>
      </c>
      <c r="I2" s="3" t="s">
        <v>7</v>
      </c>
      <c r="J2" s="3" t="s">
        <v>18</v>
      </c>
      <c r="K2" s="3" t="s">
        <v>8</v>
      </c>
      <c r="L2" s="3" t="s">
        <v>9</v>
      </c>
      <c r="M2" s="3" t="s">
        <v>30</v>
      </c>
      <c r="N2" s="3" t="s">
        <v>10</v>
      </c>
      <c r="O2" s="3" t="s">
        <v>11</v>
      </c>
      <c r="Q2" s="3" t="s">
        <v>12</v>
      </c>
      <c r="R2" s="3" t="s">
        <v>13</v>
      </c>
      <c r="S2" s="3" t="s">
        <v>14</v>
      </c>
    </row>
    <row r="3" spans="1:19">
      <c r="A3" s="4">
        <v>200</v>
      </c>
      <c r="B3" s="5">
        <v>10000000</v>
      </c>
      <c r="C3" s="4">
        <v>230</v>
      </c>
      <c r="D3" s="4">
        <v>100</v>
      </c>
      <c r="E3" s="6">
        <v>18000</v>
      </c>
      <c r="F3" s="7">
        <v>10</v>
      </c>
      <c r="G3" s="8">
        <v>1</v>
      </c>
      <c r="H3" s="4">
        <v>3</v>
      </c>
      <c r="I3" s="9">
        <f>ROUNDUP(F3*C3*D3/1000/3600*E3*H3*G3,0)</f>
        <v>3450</v>
      </c>
      <c r="J3" s="10">
        <f>(I3/(C3*D3*G3*E3/1000))*3600/H3</f>
        <v>10</v>
      </c>
      <c r="K3" s="11">
        <f>B3/E3*I3</f>
        <v>1916666.6666666665</v>
      </c>
      <c r="L3" s="11">
        <f>C3*D3*G3*H3/1000*B3/3600/1000</f>
        <v>191.66666666666666</v>
      </c>
      <c r="M3" s="12">
        <f>I3/J3</f>
        <v>345</v>
      </c>
      <c r="N3" s="11">
        <f>1/K3*1000000</f>
        <v>0.52173913043478259</v>
      </c>
      <c r="O3" s="13">
        <f>IF(N3&lt;A3,I3,I3*(N3/A3))</f>
        <v>3450</v>
      </c>
      <c r="Q3" s="17">
        <f t="shared" ref="Q3:Q44" si="0">IF(H3=3,J3*$E$47,J3*3*$E$47)</f>
        <v>50</v>
      </c>
      <c r="R3" s="14">
        <f>IF(H3=3,1/M3,3/M3)</f>
        <v>2.8985507246376812E-3</v>
      </c>
      <c r="S3" s="17">
        <f t="shared" ref="S3:S44" si="1">IF(H3=3,$E$46,$E$46*3)</f>
        <v>10</v>
      </c>
    </row>
    <row r="4" spans="1:19">
      <c r="A4" s="8">
        <f>A3</f>
        <v>200</v>
      </c>
      <c r="B4" s="5">
        <v>10000000</v>
      </c>
      <c r="C4" s="8">
        <f>C3</f>
        <v>230</v>
      </c>
      <c r="D4" s="8">
        <f>D3</f>
        <v>100</v>
      </c>
      <c r="E4" s="15">
        <f t="shared" ref="E4" si="2">$E$3</f>
        <v>18000</v>
      </c>
      <c r="F4" s="16">
        <f t="shared" ref="F4:F23" si="3">$F$3</f>
        <v>10</v>
      </c>
      <c r="G4" s="8">
        <v>0.5</v>
      </c>
      <c r="H4" s="8">
        <f>H3</f>
        <v>3</v>
      </c>
      <c r="I4" s="9">
        <f t="shared" ref="I4:I5" si="4">ROUNDUP(F4*C4*D4/1000/3600*E4*H4*G4,0)</f>
        <v>1725</v>
      </c>
      <c r="J4" s="10">
        <f t="shared" ref="J4:J5" si="5">(I4/(C4*D4*G4*E4/1000))*3600/H4</f>
        <v>10</v>
      </c>
      <c r="K4" s="11">
        <f t="shared" ref="K4:K5" si="6">B4/E4*I4</f>
        <v>958333.33333333326</v>
      </c>
      <c r="L4" s="11">
        <f t="shared" ref="L4:L32" si="7">C4*D4*G4*H4/1000*B4/3600/1000</f>
        <v>95.833333333333329</v>
      </c>
      <c r="M4" s="12">
        <f t="shared" ref="M4:M32" si="8">I4/J4</f>
        <v>172.5</v>
      </c>
      <c r="N4" s="11">
        <f t="shared" ref="N4:N5" si="9">1/K4*1000000</f>
        <v>1.0434782608695652</v>
      </c>
      <c r="O4" s="13">
        <f t="shared" ref="O4:O32" si="10">IF(N4&lt;A4,I4,I4*(N4/A4))</f>
        <v>1725</v>
      </c>
      <c r="Q4" s="17">
        <f t="shared" si="0"/>
        <v>50</v>
      </c>
      <c r="R4" s="14">
        <f t="shared" ref="R4:R44" si="11">IF(H4=3,1/M4,3/M4)</f>
        <v>5.7971014492753624E-3</v>
      </c>
      <c r="S4" s="17">
        <f t="shared" si="1"/>
        <v>10</v>
      </c>
    </row>
    <row r="5" spans="1:19">
      <c r="A5" s="8">
        <f t="shared" ref="A5:A44" si="12">A4</f>
        <v>200</v>
      </c>
      <c r="B5" s="5">
        <v>10000000</v>
      </c>
      <c r="C5" s="8">
        <f t="shared" ref="C5:C44" si="13">C4</f>
        <v>230</v>
      </c>
      <c r="D5" s="8">
        <f>D3</f>
        <v>100</v>
      </c>
      <c r="E5" s="15">
        <f t="shared" ref="E5:E8" si="14">$E$3</f>
        <v>18000</v>
      </c>
      <c r="F5" s="16">
        <f t="shared" si="3"/>
        <v>10</v>
      </c>
      <c r="G5" s="8">
        <v>0.8</v>
      </c>
      <c r="H5" s="8">
        <f>H3</f>
        <v>3</v>
      </c>
      <c r="I5" s="9">
        <f t="shared" si="4"/>
        <v>2760</v>
      </c>
      <c r="J5" s="10">
        <f t="shared" si="5"/>
        <v>10</v>
      </c>
      <c r="K5" s="11">
        <f t="shared" si="6"/>
        <v>1533333.3333333333</v>
      </c>
      <c r="L5" s="11">
        <f t="shared" si="7"/>
        <v>153.33333333333334</v>
      </c>
      <c r="M5" s="12">
        <f t="shared" si="8"/>
        <v>276</v>
      </c>
      <c r="N5" s="11">
        <f t="shared" si="9"/>
        <v>0.65217391304347827</v>
      </c>
      <c r="O5" s="13">
        <f t="shared" si="10"/>
        <v>2760</v>
      </c>
      <c r="Q5" s="17">
        <f t="shared" si="0"/>
        <v>50</v>
      </c>
      <c r="R5" s="14">
        <f t="shared" si="11"/>
        <v>3.6231884057971015E-3</v>
      </c>
      <c r="S5" s="17">
        <f t="shared" si="1"/>
        <v>10</v>
      </c>
    </row>
    <row r="6" spans="1:19">
      <c r="A6" s="8">
        <f t="shared" si="12"/>
        <v>200</v>
      </c>
      <c r="B6" s="5">
        <v>10000000</v>
      </c>
      <c r="C6" s="8">
        <f t="shared" si="13"/>
        <v>230</v>
      </c>
      <c r="D6" s="8">
        <f>$D$3*0.5</f>
        <v>50</v>
      </c>
      <c r="E6" s="15">
        <f>$E$3</f>
        <v>18000</v>
      </c>
      <c r="F6" s="16">
        <f t="shared" si="3"/>
        <v>10</v>
      </c>
      <c r="G6" s="8">
        <f>$G$3</f>
        <v>1</v>
      </c>
      <c r="H6" s="8">
        <f>$H$3</f>
        <v>3</v>
      </c>
      <c r="I6" s="9">
        <f>ROUNDUP(F6*C6*D6/1000/3600*E6*H6*G6,0)</f>
        <v>1725</v>
      </c>
      <c r="J6" s="10">
        <f t="shared" ref="J6:J30" si="15">(I6/(C6*D6*G6*E6/1000))*3600/H6</f>
        <v>10</v>
      </c>
      <c r="K6" s="11">
        <f t="shared" ref="K6:K30" si="16">B6/E6*I6</f>
        <v>958333.33333333326</v>
      </c>
      <c r="L6" s="11">
        <f t="shared" si="7"/>
        <v>95.833333333333329</v>
      </c>
      <c r="M6" s="12">
        <f t="shared" si="8"/>
        <v>172.5</v>
      </c>
      <c r="N6" s="11">
        <f t="shared" ref="N6:N30" si="17">1/K6*1000000</f>
        <v>1.0434782608695652</v>
      </c>
      <c r="O6" s="13">
        <f t="shared" si="10"/>
        <v>1725</v>
      </c>
      <c r="Q6" s="17">
        <f t="shared" si="0"/>
        <v>50</v>
      </c>
      <c r="R6" s="14">
        <f t="shared" si="11"/>
        <v>5.7971014492753624E-3</v>
      </c>
      <c r="S6" s="17">
        <f t="shared" si="1"/>
        <v>10</v>
      </c>
    </row>
    <row r="7" spans="1:19">
      <c r="A7" s="8">
        <f t="shared" si="12"/>
        <v>200</v>
      </c>
      <c r="B7" s="5">
        <v>10000001</v>
      </c>
      <c r="C7" s="8">
        <f t="shared" si="13"/>
        <v>230</v>
      </c>
      <c r="D7" s="8">
        <f t="shared" ref="D7:D8" si="18">$D$3*0.5</f>
        <v>50</v>
      </c>
      <c r="E7" s="15">
        <f t="shared" si="14"/>
        <v>18000</v>
      </c>
      <c r="F7" s="16">
        <f t="shared" si="3"/>
        <v>10</v>
      </c>
      <c r="G7" s="8">
        <v>0.5</v>
      </c>
      <c r="H7" s="8">
        <f t="shared" ref="H7:H8" si="19">$H$3</f>
        <v>3</v>
      </c>
      <c r="I7" s="9">
        <f t="shared" ref="I7:I8" si="20">ROUNDUP(F7*C7*D7/1000/3600*E7*H7*G7,0)</f>
        <v>863</v>
      </c>
      <c r="J7" s="10">
        <f t="shared" ref="J7:J8" si="21">(I7/(C7*D7*G7*E7/1000))*3600/H7</f>
        <v>10.005797101449277</v>
      </c>
      <c r="K7" s="11">
        <f t="shared" ref="K7:K8" si="22">B7/E7*I7</f>
        <v>479444.4923888889</v>
      </c>
      <c r="L7" s="11">
        <f t="shared" si="7"/>
        <v>47.916671458333333</v>
      </c>
      <c r="M7" s="12">
        <f t="shared" si="8"/>
        <v>86.249999999999986</v>
      </c>
      <c r="N7" s="11">
        <f t="shared" ref="N7:N8" si="23">1/K7*1000000</f>
        <v>2.0857471842410402</v>
      </c>
      <c r="O7" s="13">
        <f t="shared" si="10"/>
        <v>863</v>
      </c>
      <c r="Q7" s="17">
        <f t="shared" si="0"/>
        <v>50.028985507246382</v>
      </c>
      <c r="R7" s="14">
        <f t="shared" si="11"/>
        <v>1.1594202898550727E-2</v>
      </c>
      <c r="S7" s="17">
        <f t="shared" si="1"/>
        <v>10</v>
      </c>
    </row>
    <row r="8" spans="1:19">
      <c r="A8" s="8">
        <f t="shared" si="12"/>
        <v>200</v>
      </c>
      <c r="B8" s="5">
        <v>10000002</v>
      </c>
      <c r="C8" s="8">
        <f t="shared" si="13"/>
        <v>230</v>
      </c>
      <c r="D8" s="8">
        <f t="shared" si="18"/>
        <v>50</v>
      </c>
      <c r="E8" s="15">
        <f t="shared" si="14"/>
        <v>18000</v>
      </c>
      <c r="F8" s="16">
        <f t="shared" si="3"/>
        <v>10</v>
      </c>
      <c r="G8" s="8">
        <v>0.8</v>
      </c>
      <c r="H8" s="8">
        <f t="shared" si="19"/>
        <v>3</v>
      </c>
      <c r="I8" s="9">
        <f t="shared" si="20"/>
        <v>1380</v>
      </c>
      <c r="J8" s="10">
        <f t="shared" si="21"/>
        <v>10</v>
      </c>
      <c r="K8" s="11">
        <f t="shared" si="22"/>
        <v>766666.82</v>
      </c>
      <c r="L8" s="11">
        <f t="shared" si="7"/>
        <v>76.666681999999994</v>
      </c>
      <c r="M8" s="12">
        <f t="shared" si="8"/>
        <v>138</v>
      </c>
      <c r="N8" s="11">
        <f t="shared" si="23"/>
        <v>1.3043475652174434</v>
      </c>
      <c r="O8" s="13">
        <f t="shared" si="10"/>
        <v>1380</v>
      </c>
      <c r="Q8" s="17">
        <f t="shared" si="0"/>
        <v>50</v>
      </c>
      <c r="R8" s="14">
        <f t="shared" si="11"/>
        <v>7.246376811594203E-3</v>
      </c>
      <c r="S8" s="17">
        <f t="shared" si="1"/>
        <v>10</v>
      </c>
    </row>
    <row r="9" spans="1:19">
      <c r="A9" s="8">
        <f t="shared" si="12"/>
        <v>200</v>
      </c>
      <c r="B9" s="5">
        <v>10000000</v>
      </c>
      <c r="C9" s="8">
        <f t="shared" si="13"/>
        <v>230</v>
      </c>
      <c r="D9" s="8">
        <f>$D$3*0.25</f>
        <v>25</v>
      </c>
      <c r="E9" s="15">
        <f t="shared" ref="E9:E32" si="24">$E$3</f>
        <v>18000</v>
      </c>
      <c r="F9" s="16">
        <f t="shared" si="3"/>
        <v>10</v>
      </c>
      <c r="G9" s="8">
        <f t="shared" ref="G9:G30" si="25">$G$3</f>
        <v>1</v>
      </c>
      <c r="H9" s="8">
        <f t="shared" ref="H9:H32" si="26">$H$3</f>
        <v>3</v>
      </c>
      <c r="I9" s="9">
        <f t="shared" ref="I9:I30" si="27">ROUNDUP(F9*C9*D9/1000/3600*E9*H9*G9,0)</f>
        <v>863</v>
      </c>
      <c r="J9" s="10">
        <f t="shared" si="15"/>
        <v>10.005797101449277</v>
      </c>
      <c r="K9" s="11">
        <f t="shared" si="16"/>
        <v>479444.44444444444</v>
      </c>
      <c r="L9" s="11">
        <f t="shared" si="7"/>
        <v>47.916666666666664</v>
      </c>
      <c r="M9" s="12">
        <f t="shared" si="8"/>
        <v>86.249999999999986</v>
      </c>
      <c r="N9" s="11">
        <f t="shared" si="17"/>
        <v>2.085747392815759</v>
      </c>
      <c r="O9" s="13">
        <f t="shared" si="10"/>
        <v>863</v>
      </c>
      <c r="Q9" s="17">
        <f t="shared" si="0"/>
        <v>50.028985507246382</v>
      </c>
      <c r="R9" s="14">
        <f t="shared" si="11"/>
        <v>1.1594202898550727E-2</v>
      </c>
      <c r="S9" s="17">
        <f t="shared" si="1"/>
        <v>10</v>
      </c>
    </row>
    <row r="10" spans="1:19">
      <c r="A10" s="8">
        <f t="shared" si="12"/>
        <v>200</v>
      </c>
      <c r="B10" s="5">
        <v>10000001</v>
      </c>
      <c r="C10" s="8">
        <f t="shared" si="13"/>
        <v>230</v>
      </c>
      <c r="D10" s="8">
        <f t="shared" ref="D10:D11" si="28">$D$3*0.25</f>
        <v>25</v>
      </c>
      <c r="E10" s="15">
        <f t="shared" si="24"/>
        <v>18000</v>
      </c>
      <c r="F10" s="16">
        <f t="shared" si="3"/>
        <v>10</v>
      </c>
      <c r="G10" s="8">
        <v>0.5</v>
      </c>
      <c r="H10" s="8">
        <f t="shared" si="26"/>
        <v>3</v>
      </c>
      <c r="I10" s="9">
        <f t="shared" ref="I10:I11" si="29">ROUNDUP(F10*C10*D10/1000/3600*E10*H10*G10,0)</f>
        <v>432</v>
      </c>
      <c r="J10" s="10">
        <f t="shared" ref="J10:J11" si="30">(I10/(C10*D10*G10*E10/1000))*3600/H10</f>
        <v>10.017391304347825</v>
      </c>
      <c r="K10" s="11">
        <f t="shared" ref="K10:K11" si="31">B10/E10*I10</f>
        <v>240000.024</v>
      </c>
      <c r="L10" s="11">
        <f t="shared" si="7"/>
        <v>23.958335729166667</v>
      </c>
      <c r="M10" s="12">
        <f t="shared" si="8"/>
        <v>43.125000000000007</v>
      </c>
      <c r="N10" s="11">
        <f t="shared" ref="N10:N11" si="32">1/K10*1000000</f>
        <v>4.1666662500000422</v>
      </c>
      <c r="O10" s="13">
        <f t="shared" si="10"/>
        <v>432</v>
      </c>
      <c r="Q10" s="17">
        <f t="shared" si="0"/>
        <v>50.086956521739125</v>
      </c>
      <c r="R10" s="14">
        <f t="shared" si="11"/>
        <v>2.3188405797101446E-2</v>
      </c>
      <c r="S10" s="17">
        <f t="shared" si="1"/>
        <v>10</v>
      </c>
    </row>
    <row r="11" spans="1:19">
      <c r="A11" s="8">
        <f t="shared" si="12"/>
        <v>200</v>
      </c>
      <c r="B11" s="5">
        <v>10000002</v>
      </c>
      <c r="C11" s="8">
        <f t="shared" si="13"/>
        <v>230</v>
      </c>
      <c r="D11" s="8">
        <f t="shared" si="28"/>
        <v>25</v>
      </c>
      <c r="E11" s="15">
        <f t="shared" si="24"/>
        <v>18000</v>
      </c>
      <c r="F11" s="16">
        <f t="shared" si="3"/>
        <v>10</v>
      </c>
      <c r="G11" s="8">
        <v>0.8</v>
      </c>
      <c r="H11" s="8">
        <f t="shared" si="26"/>
        <v>3</v>
      </c>
      <c r="I11" s="9">
        <f t="shared" si="29"/>
        <v>690</v>
      </c>
      <c r="J11" s="10">
        <f t="shared" si="30"/>
        <v>10</v>
      </c>
      <c r="K11" s="11">
        <f t="shared" si="31"/>
        <v>383333.41</v>
      </c>
      <c r="L11" s="11">
        <f t="shared" si="7"/>
        <v>38.333340999999997</v>
      </c>
      <c r="M11" s="12">
        <f t="shared" si="8"/>
        <v>69</v>
      </c>
      <c r="N11" s="11">
        <f t="shared" si="32"/>
        <v>2.6086951304348869</v>
      </c>
      <c r="O11" s="13">
        <f t="shared" si="10"/>
        <v>690</v>
      </c>
      <c r="Q11" s="17">
        <f t="shared" si="0"/>
        <v>50</v>
      </c>
      <c r="R11" s="14">
        <f t="shared" si="11"/>
        <v>1.4492753623188406E-2</v>
      </c>
      <c r="S11" s="17">
        <f t="shared" si="1"/>
        <v>10</v>
      </c>
    </row>
    <row r="12" spans="1:19">
      <c r="A12" s="8">
        <f t="shared" si="12"/>
        <v>200</v>
      </c>
      <c r="B12" s="5">
        <v>100000000</v>
      </c>
      <c r="C12" s="8">
        <f t="shared" si="13"/>
        <v>230</v>
      </c>
      <c r="D12" s="4">
        <v>10</v>
      </c>
      <c r="E12" s="15">
        <f t="shared" si="24"/>
        <v>18000</v>
      </c>
      <c r="F12" s="16">
        <f t="shared" si="3"/>
        <v>10</v>
      </c>
      <c r="G12" s="8">
        <f t="shared" si="25"/>
        <v>1</v>
      </c>
      <c r="H12" s="8">
        <f t="shared" si="26"/>
        <v>3</v>
      </c>
      <c r="I12" s="9">
        <f t="shared" si="27"/>
        <v>345</v>
      </c>
      <c r="J12" s="10">
        <f t="shared" si="15"/>
        <v>10</v>
      </c>
      <c r="K12" s="11">
        <f t="shared" si="16"/>
        <v>1916666.6666666667</v>
      </c>
      <c r="L12" s="11">
        <f t="shared" si="7"/>
        <v>191.66666666666666</v>
      </c>
      <c r="M12" s="12">
        <f t="shared" si="8"/>
        <v>34.5</v>
      </c>
      <c r="N12" s="11">
        <f t="shared" si="17"/>
        <v>0.52173913043478259</v>
      </c>
      <c r="O12" s="13">
        <f t="shared" si="10"/>
        <v>345</v>
      </c>
      <c r="Q12" s="17">
        <f t="shared" si="0"/>
        <v>50</v>
      </c>
      <c r="R12" s="14">
        <f t="shared" si="11"/>
        <v>2.8985507246376812E-2</v>
      </c>
      <c r="S12" s="17">
        <f t="shared" si="1"/>
        <v>10</v>
      </c>
    </row>
    <row r="13" spans="1:19">
      <c r="A13" s="8">
        <f t="shared" si="12"/>
        <v>200</v>
      </c>
      <c r="B13" s="5">
        <v>100000001</v>
      </c>
      <c r="C13" s="8">
        <f t="shared" si="13"/>
        <v>230</v>
      </c>
      <c r="D13" s="8">
        <f>D12</f>
        <v>10</v>
      </c>
      <c r="E13" s="15">
        <f t="shared" si="24"/>
        <v>18000</v>
      </c>
      <c r="F13" s="16">
        <f t="shared" si="3"/>
        <v>10</v>
      </c>
      <c r="G13" s="8">
        <v>0.5</v>
      </c>
      <c r="H13" s="8">
        <f t="shared" si="26"/>
        <v>3</v>
      </c>
      <c r="I13" s="9">
        <f t="shared" ref="I13:I14" si="33">ROUNDUP(F13*C13*D13/1000/3600*E13*H13*G13,0)</f>
        <v>173</v>
      </c>
      <c r="J13" s="10">
        <f t="shared" ref="J13:J14" si="34">(I13/(C13*D13*G13*E13/1000))*3600/H13</f>
        <v>10.028985507246377</v>
      </c>
      <c r="K13" s="11">
        <f t="shared" ref="K13:K14" si="35">B13/E13*I13</f>
        <v>961111.12072222214</v>
      </c>
      <c r="L13" s="11">
        <f t="shared" si="7"/>
        <v>95.83333429166666</v>
      </c>
      <c r="M13" s="12">
        <f t="shared" si="8"/>
        <v>17.25</v>
      </c>
      <c r="N13" s="11">
        <f t="shared" ref="N13:N14" si="36">1/K13*1000000</f>
        <v>1.0404624173410406</v>
      </c>
      <c r="O13" s="13">
        <f t="shared" si="10"/>
        <v>173</v>
      </c>
      <c r="Q13" s="17">
        <f t="shared" si="0"/>
        <v>50.144927536231883</v>
      </c>
      <c r="R13" s="14">
        <f t="shared" si="11"/>
        <v>5.7971014492753624E-2</v>
      </c>
      <c r="S13" s="17">
        <f t="shared" si="1"/>
        <v>10</v>
      </c>
    </row>
    <row r="14" spans="1:19">
      <c r="A14" s="8">
        <f t="shared" si="12"/>
        <v>200</v>
      </c>
      <c r="B14" s="5">
        <v>100000002</v>
      </c>
      <c r="C14" s="8">
        <f t="shared" si="13"/>
        <v>230</v>
      </c>
      <c r="D14" s="8">
        <f>D12</f>
        <v>10</v>
      </c>
      <c r="E14" s="15">
        <f t="shared" si="24"/>
        <v>18000</v>
      </c>
      <c r="F14" s="16">
        <f t="shared" si="3"/>
        <v>10</v>
      </c>
      <c r="G14" s="8">
        <v>0.8</v>
      </c>
      <c r="H14" s="8">
        <f t="shared" si="26"/>
        <v>3</v>
      </c>
      <c r="I14" s="9">
        <f t="shared" si="33"/>
        <v>276</v>
      </c>
      <c r="J14" s="10">
        <f t="shared" si="34"/>
        <v>10</v>
      </c>
      <c r="K14" s="11">
        <f t="shared" si="35"/>
        <v>1533333.3640000001</v>
      </c>
      <c r="L14" s="11">
        <f t="shared" si="7"/>
        <v>153.33333640000001</v>
      </c>
      <c r="M14" s="12">
        <f t="shared" si="8"/>
        <v>27.6</v>
      </c>
      <c r="N14" s="11">
        <f t="shared" si="36"/>
        <v>0.65217390000000031</v>
      </c>
      <c r="O14" s="13">
        <f t="shared" si="10"/>
        <v>276</v>
      </c>
      <c r="Q14" s="17">
        <f t="shared" si="0"/>
        <v>50</v>
      </c>
      <c r="R14" s="14">
        <f t="shared" si="11"/>
        <v>3.6231884057971016E-2</v>
      </c>
      <c r="S14" s="17">
        <f t="shared" si="1"/>
        <v>10</v>
      </c>
    </row>
    <row r="15" spans="1:19">
      <c r="A15" s="8">
        <f t="shared" si="12"/>
        <v>200</v>
      </c>
      <c r="B15" s="5">
        <v>100000000</v>
      </c>
      <c r="C15" s="8">
        <f t="shared" si="13"/>
        <v>230</v>
      </c>
      <c r="D15" s="8">
        <f>$D$12*0.5</f>
        <v>5</v>
      </c>
      <c r="E15" s="15">
        <f t="shared" si="24"/>
        <v>18000</v>
      </c>
      <c r="F15" s="16">
        <f t="shared" si="3"/>
        <v>10</v>
      </c>
      <c r="G15" s="8">
        <f t="shared" si="25"/>
        <v>1</v>
      </c>
      <c r="H15" s="8">
        <f t="shared" si="26"/>
        <v>3</v>
      </c>
      <c r="I15" s="9">
        <f t="shared" si="27"/>
        <v>173</v>
      </c>
      <c r="J15" s="10">
        <f t="shared" si="15"/>
        <v>10.028985507246377</v>
      </c>
      <c r="K15" s="11">
        <f t="shared" si="16"/>
        <v>961111.11111111112</v>
      </c>
      <c r="L15" s="11">
        <f t="shared" si="7"/>
        <v>95.833333333333329</v>
      </c>
      <c r="M15" s="12">
        <f t="shared" si="8"/>
        <v>17.25</v>
      </c>
      <c r="N15" s="11">
        <f t="shared" si="17"/>
        <v>1.0404624277456647</v>
      </c>
      <c r="O15" s="13">
        <f t="shared" si="10"/>
        <v>173</v>
      </c>
      <c r="Q15" s="17">
        <f t="shared" si="0"/>
        <v>50.144927536231883</v>
      </c>
      <c r="R15" s="14">
        <f t="shared" si="11"/>
        <v>5.7971014492753624E-2</v>
      </c>
      <c r="S15" s="17">
        <f t="shared" si="1"/>
        <v>10</v>
      </c>
    </row>
    <row r="16" spans="1:19">
      <c r="A16" s="8">
        <f t="shared" si="12"/>
        <v>200</v>
      </c>
      <c r="B16" s="5">
        <v>100000001</v>
      </c>
      <c r="C16" s="8">
        <f t="shared" si="13"/>
        <v>230</v>
      </c>
      <c r="D16" s="8">
        <f t="shared" ref="D16:D17" si="37">$D$12*0.5</f>
        <v>5</v>
      </c>
      <c r="E16" s="15">
        <f t="shared" si="24"/>
        <v>18000</v>
      </c>
      <c r="F16" s="16">
        <f t="shared" si="3"/>
        <v>10</v>
      </c>
      <c r="G16" s="8">
        <v>0.5</v>
      </c>
      <c r="H16" s="8">
        <f t="shared" si="26"/>
        <v>3</v>
      </c>
      <c r="I16" s="9">
        <f t="shared" ref="I16:I17" si="38">ROUNDUP(F16*C16*D16/1000/3600*E16*H16*G16,0)</f>
        <v>87</v>
      </c>
      <c r="J16" s="10">
        <f t="shared" ref="J16:J17" si="39">(I16/(C16*D16*G16*E16/1000))*3600/H16</f>
        <v>10.086956521739131</v>
      </c>
      <c r="K16" s="11">
        <f t="shared" ref="K16:K17" si="40">B16/E16*I16</f>
        <v>483333.33816666662</v>
      </c>
      <c r="L16" s="11">
        <f t="shared" si="7"/>
        <v>47.91666714583333</v>
      </c>
      <c r="M16" s="12">
        <f t="shared" si="8"/>
        <v>8.625</v>
      </c>
      <c r="N16" s="11">
        <f t="shared" ref="N16:N17" si="41">1/K16*1000000</f>
        <v>2.0689654965517246</v>
      </c>
      <c r="O16" s="13">
        <f t="shared" si="10"/>
        <v>87</v>
      </c>
      <c r="Q16" s="17">
        <f t="shared" si="0"/>
        <v>50.434782608695656</v>
      </c>
      <c r="R16" s="14">
        <f t="shared" si="11"/>
        <v>0.11594202898550725</v>
      </c>
      <c r="S16" s="17">
        <f t="shared" si="1"/>
        <v>10</v>
      </c>
    </row>
    <row r="17" spans="1:19">
      <c r="A17" s="8">
        <f t="shared" si="12"/>
        <v>200</v>
      </c>
      <c r="B17" s="5">
        <v>100000002</v>
      </c>
      <c r="C17" s="8">
        <f t="shared" si="13"/>
        <v>230</v>
      </c>
      <c r="D17" s="8">
        <f t="shared" si="37"/>
        <v>5</v>
      </c>
      <c r="E17" s="15">
        <f t="shared" si="24"/>
        <v>18000</v>
      </c>
      <c r="F17" s="16">
        <f t="shared" si="3"/>
        <v>10</v>
      </c>
      <c r="G17" s="8">
        <v>0.8</v>
      </c>
      <c r="H17" s="8">
        <f t="shared" si="26"/>
        <v>3</v>
      </c>
      <c r="I17" s="9">
        <f t="shared" si="38"/>
        <v>138</v>
      </c>
      <c r="J17" s="10">
        <f t="shared" si="39"/>
        <v>10</v>
      </c>
      <c r="K17" s="11">
        <f t="shared" si="40"/>
        <v>766666.68200000003</v>
      </c>
      <c r="L17" s="11">
        <f t="shared" si="7"/>
        <v>76.666668200000004</v>
      </c>
      <c r="M17" s="12">
        <f t="shared" si="8"/>
        <v>13.8</v>
      </c>
      <c r="N17" s="11">
        <f t="shared" si="41"/>
        <v>1.3043478000000006</v>
      </c>
      <c r="O17" s="13">
        <f t="shared" si="10"/>
        <v>138</v>
      </c>
      <c r="Q17" s="17">
        <f t="shared" si="0"/>
        <v>50</v>
      </c>
      <c r="R17" s="14">
        <f t="shared" si="11"/>
        <v>7.2463768115942032E-2</v>
      </c>
      <c r="S17" s="17">
        <f t="shared" si="1"/>
        <v>10</v>
      </c>
    </row>
    <row r="18" spans="1:19">
      <c r="A18" s="8">
        <f t="shared" si="12"/>
        <v>200</v>
      </c>
      <c r="B18" s="5">
        <v>100000000</v>
      </c>
      <c r="C18" s="8">
        <f t="shared" si="13"/>
        <v>230</v>
      </c>
      <c r="D18" s="8">
        <f>$D$12*0.25</f>
        <v>2.5</v>
      </c>
      <c r="E18" s="15">
        <f t="shared" si="24"/>
        <v>18000</v>
      </c>
      <c r="F18" s="16">
        <f t="shared" si="3"/>
        <v>10</v>
      </c>
      <c r="G18" s="8">
        <f t="shared" si="25"/>
        <v>1</v>
      </c>
      <c r="H18" s="8">
        <f t="shared" si="26"/>
        <v>3</v>
      </c>
      <c r="I18" s="9">
        <f t="shared" si="27"/>
        <v>87</v>
      </c>
      <c r="J18" s="10">
        <f t="shared" si="15"/>
        <v>10.086956521739131</v>
      </c>
      <c r="K18" s="11">
        <f t="shared" si="16"/>
        <v>483333.33333333331</v>
      </c>
      <c r="L18" s="11">
        <f t="shared" si="7"/>
        <v>47.916666666666664</v>
      </c>
      <c r="M18" s="12">
        <f t="shared" si="8"/>
        <v>8.625</v>
      </c>
      <c r="N18" s="11">
        <f t="shared" si="17"/>
        <v>2.0689655172413794</v>
      </c>
      <c r="O18" s="13">
        <f t="shared" si="10"/>
        <v>87</v>
      </c>
      <c r="Q18" s="17">
        <f t="shared" si="0"/>
        <v>50.434782608695656</v>
      </c>
      <c r="R18" s="14">
        <f t="shared" si="11"/>
        <v>0.11594202898550725</v>
      </c>
      <c r="S18" s="17">
        <f t="shared" si="1"/>
        <v>10</v>
      </c>
    </row>
    <row r="19" spans="1:19">
      <c r="A19" s="8">
        <f t="shared" si="12"/>
        <v>200</v>
      </c>
      <c r="B19" s="5">
        <v>100000001</v>
      </c>
      <c r="C19" s="8">
        <f t="shared" si="13"/>
        <v>230</v>
      </c>
      <c r="D19" s="8">
        <f t="shared" ref="D19:D20" si="42">$D$12*0.25</f>
        <v>2.5</v>
      </c>
      <c r="E19" s="15">
        <f t="shared" si="24"/>
        <v>18000</v>
      </c>
      <c r="F19" s="16">
        <f t="shared" si="3"/>
        <v>10</v>
      </c>
      <c r="G19" s="8">
        <v>0.5</v>
      </c>
      <c r="H19" s="8">
        <f t="shared" si="26"/>
        <v>3</v>
      </c>
      <c r="I19" s="9">
        <f t="shared" ref="I19:I20" si="43">ROUNDUP(F19*C19*D19/1000/3600*E19*H19*G19,0)</f>
        <v>44</v>
      </c>
      <c r="J19" s="10">
        <f t="shared" ref="J19:J20" si="44">(I19/(C19*D19*G19*E19/1000))*3600/H19</f>
        <v>10.202898550724639</v>
      </c>
      <c r="K19" s="11">
        <f t="shared" ref="K19:K20" si="45">B19/E19*I19</f>
        <v>244444.4468888889</v>
      </c>
      <c r="L19" s="11">
        <f t="shared" si="7"/>
        <v>23.958333572916665</v>
      </c>
      <c r="M19" s="12">
        <f t="shared" si="8"/>
        <v>4.3125</v>
      </c>
      <c r="N19" s="11">
        <f t="shared" ref="N19:N20" si="46">1/K19*1000000</f>
        <v>4.0909090500000005</v>
      </c>
      <c r="O19" s="13">
        <f t="shared" si="10"/>
        <v>44</v>
      </c>
      <c r="Q19" s="17">
        <f t="shared" si="0"/>
        <v>51.014492753623195</v>
      </c>
      <c r="R19" s="14">
        <f t="shared" si="11"/>
        <v>0.2318840579710145</v>
      </c>
      <c r="S19" s="17">
        <f t="shared" si="1"/>
        <v>10</v>
      </c>
    </row>
    <row r="20" spans="1:19">
      <c r="A20" s="8">
        <f t="shared" si="12"/>
        <v>200</v>
      </c>
      <c r="B20" s="5">
        <v>100000002</v>
      </c>
      <c r="C20" s="8">
        <f t="shared" si="13"/>
        <v>230</v>
      </c>
      <c r="D20" s="8">
        <f t="shared" si="42"/>
        <v>2.5</v>
      </c>
      <c r="E20" s="15">
        <f t="shared" si="24"/>
        <v>18000</v>
      </c>
      <c r="F20" s="16">
        <f t="shared" si="3"/>
        <v>10</v>
      </c>
      <c r="G20" s="8">
        <v>0.8</v>
      </c>
      <c r="H20" s="8">
        <f t="shared" si="26"/>
        <v>3</v>
      </c>
      <c r="I20" s="9">
        <f t="shared" si="43"/>
        <v>69</v>
      </c>
      <c r="J20" s="10">
        <f t="shared" si="44"/>
        <v>10</v>
      </c>
      <c r="K20" s="11">
        <f t="shared" si="45"/>
        <v>383333.34100000001</v>
      </c>
      <c r="L20" s="11">
        <f t="shared" si="7"/>
        <v>38.333334100000002</v>
      </c>
      <c r="M20" s="12">
        <f t="shared" si="8"/>
        <v>6.9</v>
      </c>
      <c r="N20" s="11">
        <f t="shared" si="46"/>
        <v>2.6086956000000012</v>
      </c>
      <c r="O20" s="13">
        <f t="shared" si="10"/>
        <v>69</v>
      </c>
      <c r="Q20" s="17">
        <f t="shared" si="0"/>
        <v>50</v>
      </c>
      <c r="R20" s="14">
        <f t="shared" si="11"/>
        <v>0.14492753623188406</v>
      </c>
      <c r="S20" s="17">
        <f t="shared" si="1"/>
        <v>10</v>
      </c>
    </row>
    <row r="21" spans="1:19">
      <c r="A21" s="8">
        <f t="shared" si="12"/>
        <v>200</v>
      </c>
      <c r="B21" s="5">
        <v>1000000000</v>
      </c>
      <c r="C21" s="8">
        <f t="shared" si="13"/>
        <v>230</v>
      </c>
      <c r="D21" s="8">
        <f>$D$12*0.1</f>
        <v>1</v>
      </c>
      <c r="E21" s="15">
        <f t="shared" si="24"/>
        <v>18000</v>
      </c>
      <c r="F21" s="16">
        <f t="shared" si="3"/>
        <v>10</v>
      </c>
      <c r="G21" s="8">
        <f t="shared" si="25"/>
        <v>1</v>
      </c>
      <c r="H21" s="8">
        <f t="shared" si="26"/>
        <v>3</v>
      </c>
      <c r="I21" s="9">
        <f t="shared" si="27"/>
        <v>35</v>
      </c>
      <c r="J21" s="10">
        <f t="shared" si="15"/>
        <v>10.144927536231883</v>
      </c>
      <c r="K21" s="11">
        <f t="shared" si="16"/>
        <v>1944444.4444444445</v>
      </c>
      <c r="L21" s="11">
        <f t="shared" si="7"/>
        <v>191.66666666666666</v>
      </c>
      <c r="M21" s="12">
        <f t="shared" si="8"/>
        <v>3.45</v>
      </c>
      <c r="N21" s="11">
        <f t="shared" si="17"/>
        <v>0.51428571428571435</v>
      </c>
      <c r="O21" s="13">
        <f t="shared" si="10"/>
        <v>35</v>
      </c>
      <c r="Q21" s="17">
        <f t="shared" si="0"/>
        <v>50.724637681159415</v>
      </c>
      <c r="R21" s="14">
        <f t="shared" si="11"/>
        <v>0.28985507246376813</v>
      </c>
      <c r="S21" s="17">
        <f t="shared" si="1"/>
        <v>10</v>
      </c>
    </row>
    <row r="22" spans="1:19">
      <c r="A22" s="8">
        <f t="shared" si="12"/>
        <v>200</v>
      </c>
      <c r="B22" s="5">
        <v>1000000001</v>
      </c>
      <c r="C22" s="8">
        <f t="shared" si="13"/>
        <v>230</v>
      </c>
      <c r="D22" s="8">
        <f t="shared" ref="D22:D23" si="47">$D$12*0.1</f>
        <v>1</v>
      </c>
      <c r="E22" s="15">
        <f t="shared" si="24"/>
        <v>18000</v>
      </c>
      <c r="F22" s="16">
        <f t="shared" si="3"/>
        <v>10</v>
      </c>
      <c r="G22" s="8">
        <v>0.5</v>
      </c>
      <c r="H22" s="8">
        <f t="shared" si="26"/>
        <v>3</v>
      </c>
      <c r="I22" s="9">
        <f t="shared" ref="I22:I23" si="48">ROUNDUP(F22*C22*D22/1000/3600*E22*H22*G22,0)</f>
        <v>18</v>
      </c>
      <c r="J22" s="10">
        <f t="shared" ref="J22:J23" si="49">(I22/(C22*D22*G22*E22/1000))*3600/H22</f>
        <v>10.434782608695652</v>
      </c>
      <c r="K22" s="11">
        <f t="shared" ref="K22:K23" si="50">B22/E22*I22</f>
        <v>1000000.001</v>
      </c>
      <c r="L22" s="11">
        <f t="shared" si="7"/>
        <v>95.833333429166657</v>
      </c>
      <c r="M22" s="12">
        <f t="shared" si="8"/>
        <v>1.7249999999999999</v>
      </c>
      <c r="N22" s="11">
        <f t="shared" ref="N22:N23" si="51">1/K22*1000000</f>
        <v>0.99999999900000003</v>
      </c>
      <c r="O22" s="13">
        <f t="shared" si="10"/>
        <v>18</v>
      </c>
      <c r="Q22" s="17">
        <f t="shared" si="0"/>
        <v>52.173913043478265</v>
      </c>
      <c r="R22" s="14">
        <f t="shared" si="11"/>
        <v>0.57971014492753625</v>
      </c>
      <c r="S22" s="17">
        <f t="shared" si="1"/>
        <v>10</v>
      </c>
    </row>
    <row r="23" spans="1:19">
      <c r="A23" s="8">
        <f t="shared" si="12"/>
        <v>200</v>
      </c>
      <c r="B23" s="5">
        <v>1000000002</v>
      </c>
      <c r="C23" s="8">
        <f t="shared" si="13"/>
        <v>230</v>
      </c>
      <c r="D23" s="8">
        <f t="shared" si="47"/>
        <v>1</v>
      </c>
      <c r="E23" s="15">
        <f t="shared" si="24"/>
        <v>18000</v>
      </c>
      <c r="F23" s="16">
        <f t="shared" si="3"/>
        <v>10</v>
      </c>
      <c r="G23" s="8">
        <v>0.8</v>
      </c>
      <c r="H23" s="8">
        <f t="shared" si="26"/>
        <v>3</v>
      </c>
      <c r="I23" s="9">
        <f t="shared" si="48"/>
        <v>28</v>
      </c>
      <c r="J23" s="10">
        <f t="shared" si="49"/>
        <v>10.144927536231883</v>
      </c>
      <c r="K23" s="11">
        <f t="shared" si="50"/>
        <v>1555555.5586666667</v>
      </c>
      <c r="L23" s="11">
        <f t="shared" si="7"/>
        <v>153.33333364000003</v>
      </c>
      <c r="M23" s="12">
        <f t="shared" si="8"/>
        <v>2.7600000000000002</v>
      </c>
      <c r="N23" s="11">
        <f t="shared" si="51"/>
        <v>0.64285714157142848</v>
      </c>
      <c r="O23" s="13">
        <f t="shared" si="10"/>
        <v>28</v>
      </c>
      <c r="Q23" s="17">
        <f t="shared" si="0"/>
        <v>50.724637681159415</v>
      </c>
      <c r="R23" s="14">
        <f t="shared" si="11"/>
        <v>0.36231884057971009</v>
      </c>
      <c r="S23" s="17">
        <f t="shared" si="1"/>
        <v>10</v>
      </c>
    </row>
    <row r="24" spans="1:19">
      <c r="A24" s="8">
        <f t="shared" si="12"/>
        <v>200</v>
      </c>
      <c r="B24" s="5">
        <v>1000000000</v>
      </c>
      <c r="C24" s="8">
        <f t="shared" si="13"/>
        <v>230</v>
      </c>
      <c r="D24" s="8">
        <f>$D$12*0.05</f>
        <v>0.5</v>
      </c>
      <c r="E24" s="15">
        <f t="shared" si="24"/>
        <v>18000</v>
      </c>
      <c r="F24" s="7">
        <v>25</v>
      </c>
      <c r="G24" s="8">
        <f t="shared" si="25"/>
        <v>1</v>
      </c>
      <c r="H24" s="8">
        <f t="shared" si="26"/>
        <v>3</v>
      </c>
      <c r="I24" s="9">
        <f t="shared" si="27"/>
        <v>44</v>
      </c>
      <c r="J24" s="10">
        <f t="shared" si="15"/>
        <v>25.507246376811594</v>
      </c>
      <c r="K24" s="11">
        <f t="shared" si="16"/>
        <v>2444444.4444444445</v>
      </c>
      <c r="L24" s="11">
        <f t="shared" si="7"/>
        <v>95.833333333333329</v>
      </c>
      <c r="M24" s="12">
        <f t="shared" si="8"/>
        <v>1.7250000000000001</v>
      </c>
      <c r="N24" s="11">
        <f t="shared" si="17"/>
        <v>0.40909090909090906</v>
      </c>
      <c r="O24" s="13">
        <f t="shared" si="10"/>
        <v>44</v>
      </c>
      <c r="Q24" s="17">
        <f t="shared" si="0"/>
        <v>127.53623188405797</v>
      </c>
      <c r="R24" s="14">
        <f t="shared" si="11"/>
        <v>0.57971014492753625</v>
      </c>
      <c r="S24" s="17">
        <f t="shared" si="1"/>
        <v>10</v>
      </c>
    </row>
    <row r="25" spans="1:19">
      <c r="A25" s="8">
        <f t="shared" si="12"/>
        <v>200</v>
      </c>
      <c r="B25" s="5">
        <v>1000000001</v>
      </c>
      <c r="C25" s="8">
        <f t="shared" si="13"/>
        <v>230</v>
      </c>
      <c r="D25" s="8">
        <f t="shared" ref="D25:D26" si="52">$D$12*0.05</f>
        <v>0.5</v>
      </c>
      <c r="E25" s="15">
        <f t="shared" si="24"/>
        <v>18000</v>
      </c>
      <c r="F25" s="7">
        <v>25</v>
      </c>
      <c r="G25" s="8">
        <v>0.5</v>
      </c>
      <c r="H25" s="8">
        <f t="shared" si="26"/>
        <v>3</v>
      </c>
      <c r="I25" s="9">
        <f t="shared" ref="I25:I26" si="53">ROUNDUP(F25*C25*D25/1000/3600*E25*H25*G25,0)</f>
        <v>22</v>
      </c>
      <c r="J25" s="10">
        <f t="shared" ref="J25:J26" si="54">(I25/(C25*D25*G25*E25/1000))*3600/H25</f>
        <v>25.507246376811594</v>
      </c>
      <c r="K25" s="11">
        <f t="shared" ref="K25:K26" si="55">B25/E25*I25</f>
        <v>1222222.2234444446</v>
      </c>
      <c r="L25" s="11">
        <f t="shared" si="7"/>
        <v>47.916666714583329</v>
      </c>
      <c r="M25" s="12">
        <f t="shared" si="8"/>
        <v>0.86250000000000004</v>
      </c>
      <c r="N25" s="11">
        <f t="shared" ref="N25:N26" si="56">1/K25*1000000</f>
        <v>0.81818181736363627</v>
      </c>
      <c r="O25" s="13">
        <f t="shared" si="10"/>
        <v>22</v>
      </c>
      <c r="Q25" s="17">
        <f t="shared" si="0"/>
        <v>127.53623188405797</v>
      </c>
      <c r="R25" s="14">
        <f t="shared" si="11"/>
        <v>1.1594202898550725</v>
      </c>
      <c r="S25" s="17">
        <f t="shared" si="1"/>
        <v>10</v>
      </c>
    </row>
    <row r="26" spans="1:19">
      <c r="A26" s="8">
        <f t="shared" si="12"/>
        <v>200</v>
      </c>
      <c r="B26" s="5">
        <v>1000000002</v>
      </c>
      <c r="C26" s="8">
        <f t="shared" si="13"/>
        <v>230</v>
      </c>
      <c r="D26" s="8">
        <f t="shared" si="52"/>
        <v>0.5</v>
      </c>
      <c r="E26" s="15">
        <f t="shared" si="24"/>
        <v>18000</v>
      </c>
      <c r="F26" s="7">
        <v>25</v>
      </c>
      <c r="G26" s="8">
        <v>0.8</v>
      </c>
      <c r="H26" s="8">
        <f t="shared" si="26"/>
        <v>3</v>
      </c>
      <c r="I26" s="9">
        <f t="shared" si="53"/>
        <v>35</v>
      </c>
      <c r="J26" s="10">
        <f t="shared" si="54"/>
        <v>25.362318840579707</v>
      </c>
      <c r="K26" s="11">
        <f t="shared" si="55"/>
        <v>1944444.4483333332</v>
      </c>
      <c r="L26" s="11">
        <f t="shared" si="7"/>
        <v>76.666666820000017</v>
      </c>
      <c r="M26" s="12">
        <f t="shared" si="8"/>
        <v>1.3800000000000001</v>
      </c>
      <c r="N26" s="11">
        <f t="shared" si="56"/>
        <v>0.51428571325714278</v>
      </c>
      <c r="O26" s="13">
        <f t="shared" si="10"/>
        <v>35</v>
      </c>
      <c r="Q26" s="17">
        <f t="shared" si="0"/>
        <v>126.81159420289853</v>
      </c>
      <c r="R26" s="14">
        <f t="shared" si="11"/>
        <v>0.72463768115942018</v>
      </c>
      <c r="S26" s="17">
        <f t="shared" si="1"/>
        <v>10</v>
      </c>
    </row>
    <row r="27" spans="1:19">
      <c r="A27" s="8">
        <f t="shared" si="12"/>
        <v>200</v>
      </c>
      <c r="B27" s="5">
        <v>1000000000</v>
      </c>
      <c r="C27" s="8">
        <f t="shared" si="13"/>
        <v>230</v>
      </c>
      <c r="D27" s="8">
        <f>$D$12*0.025</f>
        <v>0.25</v>
      </c>
      <c r="E27" s="15">
        <f t="shared" si="24"/>
        <v>18000</v>
      </c>
      <c r="F27" s="7">
        <v>50</v>
      </c>
      <c r="G27" s="8">
        <f t="shared" si="25"/>
        <v>1</v>
      </c>
      <c r="H27" s="8">
        <f t="shared" si="26"/>
        <v>3</v>
      </c>
      <c r="I27" s="9">
        <f t="shared" si="27"/>
        <v>44</v>
      </c>
      <c r="J27" s="10">
        <f t="shared" si="15"/>
        <v>51.014492753623188</v>
      </c>
      <c r="K27" s="11">
        <f t="shared" si="16"/>
        <v>2444444.4444444445</v>
      </c>
      <c r="L27" s="11">
        <f t="shared" si="7"/>
        <v>47.916666666666664</v>
      </c>
      <c r="M27" s="12">
        <f t="shared" si="8"/>
        <v>0.86250000000000004</v>
      </c>
      <c r="N27" s="11">
        <f t="shared" si="17"/>
        <v>0.40909090909090906</v>
      </c>
      <c r="O27" s="13">
        <f t="shared" si="10"/>
        <v>44</v>
      </c>
      <c r="Q27" s="17">
        <f t="shared" si="0"/>
        <v>255.07246376811594</v>
      </c>
      <c r="R27" s="14">
        <f t="shared" si="11"/>
        <v>1.1594202898550725</v>
      </c>
      <c r="S27" s="17">
        <f t="shared" si="1"/>
        <v>10</v>
      </c>
    </row>
    <row r="28" spans="1:19">
      <c r="A28" s="8">
        <f t="shared" si="12"/>
        <v>200</v>
      </c>
      <c r="B28" s="5">
        <v>1000000001</v>
      </c>
      <c r="C28" s="8">
        <f t="shared" si="13"/>
        <v>230</v>
      </c>
      <c r="D28" s="8">
        <f t="shared" ref="D28:D29" si="57">$D$12*0.025</f>
        <v>0.25</v>
      </c>
      <c r="E28" s="15">
        <f t="shared" si="24"/>
        <v>18000</v>
      </c>
      <c r="F28" s="7">
        <v>50</v>
      </c>
      <c r="G28" s="8">
        <v>0.5</v>
      </c>
      <c r="H28" s="8">
        <f t="shared" si="26"/>
        <v>3</v>
      </c>
      <c r="I28" s="9">
        <f t="shared" ref="I28:I29" si="58">ROUNDUP(F28*C28*D28/1000/3600*E28*H28*G28,0)</f>
        <v>22</v>
      </c>
      <c r="J28" s="10">
        <f t="shared" ref="J28:J29" si="59">(I28/(C28*D28*G28*E28/1000))*3600/H28</f>
        <v>51.014492753623188</v>
      </c>
      <c r="K28" s="11">
        <f t="shared" ref="K28:K29" si="60">B28/E28*I28</f>
        <v>1222222.2234444446</v>
      </c>
      <c r="L28" s="11">
        <f t="shared" si="7"/>
        <v>23.958333357291664</v>
      </c>
      <c r="M28" s="12">
        <f t="shared" si="8"/>
        <v>0.43125000000000002</v>
      </c>
      <c r="N28" s="11">
        <f t="shared" ref="N28:N29" si="61">1/K28*1000000</f>
        <v>0.81818181736363627</v>
      </c>
      <c r="O28" s="13">
        <f t="shared" si="10"/>
        <v>22</v>
      </c>
      <c r="Q28" s="17">
        <f t="shared" si="0"/>
        <v>255.07246376811594</v>
      </c>
      <c r="R28" s="14">
        <f t="shared" si="11"/>
        <v>2.318840579710145</v>
      </c>
      <c r="S28" s="17">
        <f t="shared" si="1"/>
        <v>10</v>
      </c>
    </row>
    <row r="29" spans="1:19">
      <c r="A29" s="8">
        <f t="shared" si="12"/>
        <v>200</v>
      </c>
      <c r="B29" s="5">
        <v>1000000002</v>
      </c>
      <c r="C29" s="8">
        <f t="shared" si="13"/>
        <v>230</v>
      </c>
      <c r="D29" s="8">
        <f t="shared" si="57"/>
        <v>0.25</v>
      </c>
      <c r="E29" s="15">
        <f t="shared" si="24"/>
        <v>18000</v>
      </c>
      <c r="F29" s="7">
        <v>50</v>
      </c>
      <c r="G29" s="8">
        <v>0.8</v>
      </c>
      <c r="H29" s="8">
        <f t="shared" si="26"/>
        <v>3</v>
      </c>
      <c r="I29" s="9">
        <f t="shared" si="58"/>
        <v>35</v>
      </c>
      <c r="J29" s="10">
        <f t="shared" si="59"/>
        <v>50.724637681159415</v>
      </c>
      <c r="K29" s="11">
        <f t="shared" si="60"/>
        <v>1944444.4483333332</v>
      </c>
      <c r="L29" s="11">
        <f t="shared" si="7"/>
        <v>38.333333410000009</v>
      </c>
      <c r="M29" s="12">
        <f t="shared" si="8"/>
        <v>0.69000000000000006</v>
      </c>
      <c r="N29" s="11">
        <f t="shared" si="61"/>
        <v>0.51428571325714278</v>
      </c>
      <c r="O29" s="13">
        <f t="shared" si="10"/>
        <v>35</v>
      </c>
      <c r="Q29" s="17">
        <f t="shared" si="0"/>
        <v>253.62318840579707</v>
      </c>
      <c r="R29" s="14">
        <f t="shared" si="11"/>
        <v>1.4492753623188404</v>
      </c>
      <c r="S29" s="17">
        <f t="shared" si="1"/>
        <v>10</v>
      </c>
    </row>
    <row r="30" spans="1:19">
      <c r="A30" s="8">
        <f t="shared" si="12"/>
        <v>200</v>
      </c>
      <c r="B30" s="5">
        <v>10000000000</v>
      </c>
      <c r="C30" s="8">
        <f t="shared" si="13"/>
        <v>230</v>
      </c>
      <c r="D30" s="8">
        <f>$D$12*0.01</f>
        <v>0.1</v>
      </c>
      <c r="E30" s="15">
        <f t="shared" si="24"/>
        <v>18000</v>
      </c>
      <c r="F30" s="7">
        <v>100</v>
      </c>
      <c r="G30" s="8">
        <f t="shared" si="25"/>
        <v>1</v>
      </c>
      <c r="H30" s="8">
        <f t="shared" si="26"/>
        <v>3</v>
      </c>
      <c r="I30" s="9">
        <f t="shared" si="27"/>
        <v>35</v>
      </c>
      <c r="J30" s="10">
        <f t="shared" si="15"/>
        <v>101.44927536231883</v>
      </c>
      <c r="K30" s="11">
        <f t="shared" si="16"/>
        <v>19444444.444444444</v>
      </c>
      <c r="L30" s="11">
        <f t="shared" si="7"/>
        <v>191.66666666666666</v>
      </c>
      <c r="M30" s="12">
        <f t="shared" si="8"/>
        <v>0.34500000000000003</v>
      </c>
      <c r="N30" s="11">
        <f t="shared" si="17"/>
        <v>5.1428571428571428E-2</v>
      </c>
      <c r="O30" s="13">
        <f t="shared" si="10"/>
        <v>35</v>
      </c>
      <c r="Q30" s="17">
        <f t="shared" si="0"/>
        <v>507.24637681159413</v>
      </c>
      <c r="R30" s="14">
        <f t="shared" si="11"/>
        <v>2.8985507246376807</v>
      </c>
      <c r="S30" s="17">
        <f t="shared" si="1"/>
        <v>10</v>
      </c>
    </row>
    <row r="31" spans="1:19">
      <c r="A31" s="8">
        <f t="shared" si="12"/>
        <v>200</v>
      </c>
      <c r="B31" s="5">
        <v>10000000001</v>
      </c>
      <c r="C31" s="8">
        <f t="shared" si="13"/>
        <v>230</v>
      </c>
      <c r="D31" s="8">
        <f t="shared" ref="D31:D32" si="62">$D$12*0.01</f>
        <v>0.1</v>
      </c>
      <c r="E31" s="15">
        <f t="shared" si="24"/>
        <v>18000</v>
      </c>
      <c r="F31" s="7">
        <v>100</v>
      </c>
      <c r="G31" s="8">
        <v>0.5</v>
      </c>
      <c r="H31" s="8">
        <f t="shared" si="26"/>
        <v>3</v>
      </c>
      <c r="I31" s="9">
        <f t="shared" ref="I31" si="63">ROUNDUP(F31*C31*D31/1000/3600*E31*H31*G31,0)</f>
        <v>18</v>
      </c>
      <c r="J31" s="10">
        <f t="shared" ref="J31:J32" si="64">(I31/(C31*D31*G31*E31/1000))*3600/H31</f>
        <v>104.34782608695652</v>
      </c>
      <c r="K31" s="11">
        <f t="shared" ref="K31:K32" si="65">B31/E31*I31</f>
        <v>10000000.001</v>
      </c>
      <c r="L31" s="11">
        <f t="shared" si="7"/>
        <v>95.83333334291666</v>
      </c>
      <c r="M31" s="12">
        <f t="shared" si="8"/>
        <v>0.17250000000000001</v>
      </c>
      <c r="N31" s="11">
        <f t="shared" ref="N31:N32" si="66">1/K31*1000000</f>
        <v>9.9999999990000005E-2</v>
      </c>
      <c r="O31" s="13">
        <f t="shared" si="10"/>
        <v>18</v>
      </c>
      <c r="Q31" s="17">
        <f t="shared" si="0"/>
        <v>521.73913043478262</v>
      </c>
      <c r="R31" s="14">
        <f t="shared" si="11"/>
        <v>5.7971014492753614</v>
      </c>
      <c r="S31" s="17">
        <f t="shared" si="1"/>
        <v>10</v>
      </c>
    </row>
    <row r="32" spans="1:19">
      <c r="A32" s="8">
        <f t="shared" si="12"/>
        <v>200</v>
      </c>
      <c r="B32" s="5">
        <v>10000000002</v>
      </c>
      <c r="C32" s="8">
        <f t="shared" si="13"/>
        <v>230</v>
      </c>
      <c r="D32" s="8">
        <f t="shared" si="62"/>
        <v>0.1</v>
      </c>
      <c r="E32" s="15">
        <f t="shared" si="24"/>
        <v>18000</v>
      </c>
      <c r="F32" s="7">
        <v>100</v>
      </c>
      <c r="G32" s="8">
        <v>0.8</v>
      </c>
      <c r="H32" s="8">
        <f t="shared" si="26"/>
        <v>3</v>
      </c>
      <c r="I32" s="9">
        <f>ROUNDUP(F32*C32*D32/1000/3600*E32*H32*G32,0)</f>
        <v>28</v>
      </c>
      <c r="J32" s="10">
        <f t="shared" si="64"/>
        <v>101.44927536231883</v>
      </c>
      <c r="K32" s="11">
        <f t="shared" si="65"/>
        <v>15555555.558666669</v>
      </c>
      <c r="L32" s="11">
        <f t="shared" si="7"/>
        <v>153.33333336400003</v>
      </c>
      <c r="M32" s="12">
        <f t="shared" si="8"/>
        <v>0.27600000000000002</v>
      </c>
      <c r="N32" s="11">
        <f t="shared" si="66"/>
        <v>6.4285714272857133E-2</v>
      </c>
      <c r="O32" s="13">
        <f t="shared" si="10"/>
        <v>28</v>
      </c>
      <c r="Q32" s="17">
        <f t="shared" si="0"/>
        <v>507.24637681159413</v>
      </c>
      <c r="R32" s="14">
        <f>IF(H32=3,1/M32,3/M32)</f>
        <v>3.6231884057971011</v>
      </c>
      <c r="S32" s="17">
        <f t="shared" si="1"/>
        <v>10</v>
      </c>
    </row>
    <row r="33" spans="1:19">
      <c r="A33" s="8">
        <f t="shared" si="12"/>
        <v>200</v>
      </c>
      <c r="B33" s="5">
        <v>10000000</v>
      </c>
      <c r="C33" s="8">
        <f t="shared" si="13"/>
        <v>230</v>
      </c>
      <c r="D33" s="8">
        <v>100</v>
      </c>
      <c r="E33" s="15">
        <v>18000</v>
      </c>
      <c r="F33" s="16">
        <v>10</v>
      </c>
      <c r="G33" s="8">
        <v>1</v>
      </c>
      <c r="H33" s="8">
        <v>1</v>
      </c>
      <c r="I33" s="9">
        <f>ROUNDUP(F33*C33*D33/1000/3600*E33*H33*G33,0)</f>
        <v>1150</v>
      </c>
      <c r="J33" s="10">
        <f>(I33/(C33*D33*G33*E33/1000))*3600/H33</f>
        <v>10</v>
      </c>
      <c r="K33" s="11">
        <f>B33/E33*I33</f>
        <v>638888.88888888888</v>
      </c>
      <c r="L33" s="11">
        <f>C33*D33*G33*H33/1000*B33/3600/1000</f>
        <v>63.888888888888893</v>
      </c>
      <c r="M33" s="12">
        <f>I33/J33</f>
        <v>115</v>
      </c>
      <c r="N33" s="11">
        <f>1/K33*1000000</f>
        <v>1.5652173913043477</v>
      </c>
      <c r="O33" s="13">
        <f>IF(N33&lt;A33,I33,I33*(N33/A33))</f>
        <v>1150</v>
      </c>
      <c r="Q33" s="17">
        <f t="shared" si="0"/>
        <v>150</v>
      </c>
      <c r="R33" s="14">
        <f t="shared" si="11"/>
        <v>2.6086956521739129E-2</v>
      </c>
      <c r="S33" s="17">
        <f t="shared" si="1"/>
        <v>30</v>
      </c>
    </row>
    <row r="34" spans="1:19">
      <c r="A34" s="8">
        <f t="shared" si="12"/>
        <v>200</v>
      </c>
      <c r="B34" s="5">
        <v>10000000</v>
      </c>
      <c r="C34" s="8">
        <f t="shared" si="13"/>
        <v>230</v>
      </c>
      <c r="D34" s="8">
        <f>D33</f>
        <v>100</v>
      </c>
      <c r="E34" s="15">
        <f t="shared" ref="E34:E44" si="67">$E$3</f>
        <v>18000</v>
      </c>
      <c r="F34" s="16">
        <f t="shared" ref="F34:F44" si="68">$F$3</f>
        <v>10</v>
      </c>
      <c r="G34" s="8">
        <v>0.5</v>
      </c>
      <c r="H34" s="8">
        <f>H33</f>
        <v>1</v>
      </c>
      <c r="I34" s="9">
        <f t="shared" ref="I34:I35" si="69">ROUNDUP(F34*C34*D34/1000/3600*E34*H34*G34,0)</f>
        <v>575</v>
      </c>
      <c r="J34" s="10">
        <f t="shared" ref="J34:J44" si="70">(I34/(C34*D34*G34*E34/1000))*3600/H34</f>
        <v>10</v>
      </c>
      <c r="K34" s="11">
        <f t="shared" ref="K34:K44" si="71">B34/E34*I34</f>
        <v>319444.44444444444</v>
      </c>
      <c r="L34" s="11">
        <f t="shared" ref="L34:L44" si="72">C34*D34*G34*H34/1000*B34/3600/1000</f>
        <v>31.944444444444446</v>
      </c>
      <c r="M34" s="12">
        <f t="shared" ref="M34:M44" si="73">I34/J34</f>
        <v>57.5</v>
      </c>
      <c r="N34" s="11">
        <f t="shared" ref="N34:N44" si="74">1/K34*1000000</f>
        <v>3.1304347826086953</v>
      </c>
      <c r="O34" s="13">
        <f t="shared" ref="O34:O44" si="75">IF(N34&lt;A34,I34,I34*(N34/A34))</f>
        <v>575</v>
      </c>
      <c r="Q34" s="17">
        <f t="shared" si="0"/>
        <v>150</v>
      </c>
      <c r="R34" s="14">
        <f t="shared" si="11"/>
        <v>5.2173913043478258E-2</v>
      </c>
      <c r="S34" s="17">
        <f t="shared" si="1"/>
        <v>30</v>
      </c>
    </row>
    <row r="35" spans="1:19">
      <c r="A35" s="8">
        <f t="shared" si="12"/>
        <v>200</v>
      </c>
      <c r="B35" s="5">
        <v>10000000</v>
      </c>
      <c r="C35" s="8">
        <f t="shared" si="13"/>
        <v>230</v>
      </c>
      <c r="D35" s="8">
        <f>D33</f>
        <v>100</v>
      </c>
      <c r="E35" s="15">
        <f t="shared" si="67"/>
        <v>18000</v>
      </c>
      <c r="F35" s="16">
        <f t="shared" si="68"/>
        <v>10</v>
      </c>
      <c r="G35" s="8">
        <v>0.8</v>
      </c>
      <c r="H35" s="8">
        <f>H33</f>
        <v>1</v>
      </c>
      <c r="I35" s="9">
        <f t="shared" si="69"/>
        <v>920</v>
      </c>
      <c r="J35" s="10">
        <f t="shared" si="70"/>
        <v>10</v>
      </c>
      <c r="K35" s="11">
        <f t="shared" si="71"/>
        <v>511111.11111111112</v>
      </c>
      <c r="L35" s="11">
        <f t="shared" si="72"/>
        <v>51.111111111111107</v>
      </c>
      <c r="M35" s="12">
        <f t="shared" si="73"/>
        <v>92</v>
      </c>
      <c r="N35" s="11">
        <f t="shared" si="74"/>
        <v>1.9565217391304346</v>
      </c>
      <c r="O35" s="13">
        <f t="shared" si="75"/>
        <v>920</v>
      </c>
      <c r="Q35" s="17">
        <f t="shared" si="0"/>
        <v>150</v>
      </c>
      <c r="R35" s="14">
        <f t="shared" si="11"/>
        <v>3.2608695652173912E-2</v>
      </c>
      <c r="S35" s="17">
        <f t="shared" si="1"/>
        <v>30</v>
      </c>
    </row>
    <row r="36" spans="1:19">
      <c r="A36" s="8">
        <f t="shared" si="12"/>
        <v>200</v>
      </c>
      <c r="B36" s="5">
        <v>10000000</v>
      </c>
      <c r="C36" s="8">
        <f t="shared" si="13"/>
        <v>230</v>
      </c>
      <c r="D36" s="8">
        <f>$D$3*0.5</f>
        <v>50</v>
      </c>
      <c r="E36" s="15">
        <f>$E$3</f>
        <v>18000</v>
      </c>
      <c r="F36" s="16">
        <f t="shared" si="68"/>
        <v>10</v>
      </c>
      <c r="G36" s="8">
        <f>$G$3</f>
        <v>1</v>
      </c>
      <c r="H36" s="8">
        <f>$H$33</f>
        <v>1</v>
      </c>
      <c r="I36" s="9">
        <f>ROUNDUP(F36*C36*D36/1000/3600*E36*H36*G36,0)</f>
        <v>575</v>
      </c>
      <c r="J36" s="10">
        <f t="shared" si="70"/>
        <v>10</v>
      </c>
      <c r="K36" s="11">
        <f t="shared" si="71"/>
        <v>319444.44444444444</v>
      </c>
      <c r="L36" s="11">
        <f t="shared" si="72"/>
        <v>31.944444444444446</v>
      </c>
      <c r="M36" s="12">
        <f t="shared" si="73"/>
        <v>57.5</v>
      </c>
      <c r="N36" s="11">
        <f t="shared" si="74"/>
        <v>3.1304347826086953</v>
      </c>
      <c r="O36" s="13">
        <f t="shared" si="75"/>
        <v>575</v>
      </c>
      <c r="Q36" s="17">
        <f t="shared" si="0"/>
        <v>150</v>
      </c>
      <c r="R36" s="14">
        <f t="shared" si="11"/>
        <v>5.2173913043478258E-2</v>
      </c>
      <c r="S36" s="17">
        <f t="shared" si="1"/>
        <v>30</v>
      </c>
    </row>
    <row r="37" spans="1:19">
      <c r="A37" s="8">
        <f t="shared" si="12"/>
        <v>200</v>
      </c>
      <c r="B37" s="5">
        <v>10000001</v>
      </c>
      <c r="C37" s="8">
        <f t="shared" si="13"/>
        <v>230</v>
      </c>
      <c r="D37" s="8">
        <f t="shared" ref="D37:D38" si="76">$D$3*0.5</f>
        <v>50</v>
      </c>
      <c r="E37" s="15">
        <f t="shared" si="67"/>
        <v>18000</v>
      </c>
      <c r="F37" s="16">
        <f t="shared" si="68"/>
        <v>10</v>
      </c>
      <c r="G37" s="8">
        <v>0.5</v>
      </c>
      <c r="H37" s="8">
        <f t="shared" ref="H37:H44" si="77">$H$33</f>
        <v>1</v>
      </c>
      <c r="I37" s="9">
        <f t="shared" ref="I37:I44" si="78">ROUNDUP(F37*C37*D37/1000/3600*E37*H37*G37,0)</f>
        <v>288</v>
      </c>
      <c r="J37" s="10">
        <f t="shared" si="70"/>
        <v>10.017391304347827</v>
      </c>
      <c r="K37" s="11">
        <f t="shared" si="71"/>
        <v>160000.016</v>
      </c>
      <c r="L37" s="11">
        <f t="shared" si="72"/>
        <v>15.972223819444446</v>
      </c>
      <c r="M37" s="12">
        <f t="shared" si="73"/>
        <v>28.749999999999996</v>
      </c>
      <c r="N37" s="11">
        <f t="shared" si="74"/>
        <v>6.249999375000062</v>
      </c>
      <c r="O37" s="13">
        <f t="shared" si="75"/>
        <v>288</v>
      </c>
      <c r="Q37" s="17">
        <f t="shared" si="0"/>
        <v>150.2608695652174</v>
      </c>
      <c r="R37" s="14">
        <f t="shared" si="11"/>
        <v>0.10434782608695653</v>
      </c>
      <c r="S37" s="17">
        <f t="shared" si="1"/>
        <v>30</v>
      </c>
    </row>
    <row r="38" spans="1:19">
      <c r="A38" s="8">
        <f t="shared" si="12"/>
        <v>200</v>
      </c>
      <c r="B38" s="5">
        <v>10000002</v>
      </c>
      <c r="C38" s="8">
        <f t="shared" si="13"/>
        <v>230</v>
      </c>
      <c r="D38" s="8">
        <f t="shared" si="76"/>
        <v>50</v>
      </c>
      <c r="E38" s="15">
        <f t="shared" si="67"/>
        <v>18000</v>
      </c>
      <c r="F38" s="16">
        <f t="shared" si="68"/>
        <v>10</v>
      </c>
      <c r="G38" s="8">
        <v>0.8</v>
      </c>
      <c r="H38" s="8">
        <f t="shared" si="77"/>
        <v>1</v>
      </c>
      <c r="I38" s="9">
        <f t="shared" si="78"/>
        <v>460</v>
      </c>
      <c r="J38" s="10">
        <f t="shared" si="70"/>
        <v>10</v>
      </c>
      <c r="K38" s="11">
        <f t="shared" si="71"/>
        <v>255555.60666666666</v>
      </c>
      <c r="L38" s="11">
        <f t="shared" si="72"/>
        <v>25.555560666666665</v>
      </c>
      <c r="M38" s="12">
        <f t="shared" si="73"/>
        <v>46</v>
      </c>
      <c r="N38" s="11">
        <f t="shared" si="74"/>
        <v>3.9130426956523308</v>
      </c>
      <c r="O38" s="13">
        <f t="shared" si="75"/>
        <v>460</v>
      </c>
      <c r="Q38" s="17">
        <f t="shared" si="0"/>
        <v>150</v>
      </c>
      <c r="R38" s="14">
        <f t="shared" si="11"/>
        <v>6.5217391304347824E-2</v>
      </c>
      <c r="S38" s="17">
        <f t="shared" si="1"/>
        <v>30</v>
      </c>
    </row>
    <row r="39" spans="1:19">
      <c r="A39" s="8">
        <f t="shared" si="12"/>
        <v>200</v>
      </c>
      <c r="B39" s="5">
        <v>100000000</v>
      </c>
      <c r="C39" s="8">
        <f t="shared" si="13"/>
        <v>230</v>
      </c>
      <c r="D39" s="8">
        <v>10</v>
      </c>
      <c r="E39" s="15">
        <f t="shared" si="67"/>
        <v>18000</v>
      </c>
      <c r="F39" s="16">
        <f t="shared" si="68"/>
        <v>10</v>
      </c>
      <c r="G39" s="8">
        <f t="shared" ref="G39:G42" si="79">$G$3</f>
        <v>1</v>
      </c>
      <c r="H39" s="8">
        <f t="shared" si="77"/>
        <v>1</v>
      </c>
      <c r="I39" s="9">
        <f t="shared" si="78"/>
        <v>115</v>
      </c>
      <c r="J39" s="10">
        <f t="shared" si="70"/>
        <v>10</v>
      </c>
      <c r="K39" s="11">
        <f t="shared" si="71"/>
        <v>638888.88888888888</v>
      </c>
      <c r="L39" s="11">
        <f t="shared" si="72"/>
        <v>63.888888888888886</v>
      </c>
      <c r="M39" s="12">
        <f t="shared" si="73"/>
        <v>11.5</v>
      </c>
      <c r="N39" s="11">
        <f t="shared" si="74"/>
        <v>1.5652173913043477</v>
      </c>
      <c r="O39" s="13">
        <f t="shared" si="75"/>
        <v>115</v>
      </c>
      <c r="Q39" s="17">
        <f t="shared" si="0"/>
        <v>150</v>
      </c>
      <c r="R39" s="14">
        <f t="shared" si="11"/>
        <v>0.2608695652173913</v>
      </c>
      <c r="S39" s="17">
        <f t="shared" si="1"/>
        <v>30</v>
      </c>
    </row>
    <row r="40" spans="1:19">
      <c r="A40" s="8">
        <f t="shared" si="12"/>
        <v>200</v>
      </c>
      <c r="B40" s="5">
        <v>100000001</v>
      </c>
      <c r="C40" s="8">
        <f t="shared" si="13"/>
        <v>230</v>
      </c>
      <c r="D40" s="8">
        <f>D39</f>
        <v>10</v>
      </c>
      <c r="E40" s="15">
        <f t="shared" si="67"/>
        <v>18000</v>
      </c>
      <c r="F40" s="16">
        <f t="shared" si="68"/>
        <v>10</v>
      </c>
      <c r="G40" s="8">
        <v>0.5</v>
      </c>
      <c r="H40" s="8">
        <f t="shared" si="77"/>
        <v>1</v>
      </c>
      <c r="I40" s="9">
        <f t="shared" si="78"/>
        <v>58</v>
      </c>
      <c r="J40" s="10">
        <f t="shared" si="70"/>
        <v>10.086956521739131</v>
      </c>
      <c r="K40" s="11">
        <f t="shared" si="71"/>
        <v>322222.22544444446</v>
      </c>
      <c r="L40" s="11">
        <f t="shared" si="72"/>
        <v>31.944444763888885</v>
      </c>
      <c r="M40" s="12">
        <f t="shared" si="73"/>
        <v>5.75</v>
      </c>
      <c r="N40" s="11">
        <f t="shared" si="74"/>
        <v>3.1034482448275864</v>
      </c>
      <c r="O40" s="13">
        <f t="shared" si="75"/>
        <v>58</v>
      </c>
      <c r="Q40" s="17">
        <f t="shared" si="0"/>
        <v>151.30434782608694</v>
      </c>
      <c r="R40" s="14">
        <f t="shared" si="11"/>
        <v>0.52173913043478259</v>
      </c>
      <c r="S40" s="17">
        <f t="shared" si="1"/>
        <v>30</v>
      </c>
    </row>
    <row r="41" spans="1:19">
      <c r="A41" s="8">
        <f t="shared" si="12"/>
        <v>200</v>
      </c>
      <c r="B41" s="5">
        <v>100000002</v>
      </c>
      <c r="C41" s="8">
        <f t="shared" si="13"/>
        <v>230</v>
      </c>
      <c r="D41" s="8">
        <f>D39</f>
        <v>10</v>
      </c>
      <c r="E41" s="15">
        <f t="shared" si="67"/>
        <v>18000</v>
      </c>
      <c r="F41" s="16">
        <f t="shared" si="68"/>
        <v>10</v>
      </c>
      <c r="G41" s="8">
        <v>0.8</v>
      </c>
      <c r="H41" s="8">
        <f t="shared" si="77"/>
        <v>1</v>
      </c>
      <c r="I41" s="9">
        <f t="shared" si="78"/>
        <v>92</v>
      </c>
      <c r="J41" s="10">
        <f t="shared" si="70"/>
        <v>10</v>
      </c>
      <c r="K41" s="11">
        <f t="shared" si="71"/>
        <v>511111.12133333337</v>
      </c>
      <c r="L41" s="11">
        <f t="shared" si="72"/>
        <v>51.111112133333336</v>
      </c>
      <c r="M41" s="12">
        <f t="shared" si="73"/>
        <v>9.1999999999999993</v>
      </c>
      <c r="N41" s="11">
        <f t="shared" si="74"/>
        <v>1.9565217000000006</v>
      </c>
      <c r="O41" s="13">
        <f t="shared" si="75"/>
        <v>92</v>
      </c>
      <c r="Q41" s="17">
        <f t="shared" si="0"/>
        <v>150</v>
      </c>
      <c r="R41" s="14">
        <f t="shared" si="11"/>
        <v>0.32608695652173914</v>
      </c>
      <c r="S41" s="17">
        <f t="shared" si="1"/>
        <v>30</v>
      </c>
    </row>
    <row r="42" spans="1:19">
      <c r="A42" s="8">
        <f t="shared" si="12"/>
        <v>200</v>
      </c>
      <c r="B42" s="5">
        <v>100000000</v>
      </c>
      <c r="C42" s="8">
        <f t="shared" si="13"/>
        <v>230</v>
      </c>
      <c r="D42" s="8">
        <f>$D$12*0.5</f>
        <v>5</v>
      </c>
      <c r="E42" s="15">
        <f t="shared" si="67"/>
        <v>18000</v>
      </c>
      <c r="F42" s="16">
        <f t="shared" si="68"/>
        <v>10</v>
      </c>
      <c r="G42" s="8">
        <f t="shared" si="79"/>
        <v>1</v>
      </c>
      <c r="H42" s="8">
        <f t="shared" si="77"/>
        <v>1</v>
      </c>
      <c r="I42" s="9">
        <f t="shared" si="78"/>
        <v>58</v>
      </c>
      <c r="J42" s="10">
        <f t="shared" si="70"/>
        <v>10.086956521739131</v>
      </c>
      <c r="K42" s="11">
        <f t="shared" si="71"/>
        <v>322222.22222222225</v>
      </c>
      <c r="L42" s="11">
        <f t="shared" si="72"/>
        <v>31.944444444444443</v>
      </c>
      <c r="M42" s="12">
        <f t="shared" si="73"/>
        <v>5.75</v>
      </c>
      <c r="N42" s="11">
        <f t="shared" si="74"/>
        <v>3.103448275862069</v>
      </c>
      <c r="O42" s="13">
        <f t="shared" si="75"/>
        <v>58</v>
      </c>
      <c r="Q42" s="17">
        <f t="shared" si="0"/>
        <v>151.30434782608694</v>
      </c>
      <c r="R42" s="14">
        <f t="shared" si="11"/>
        <v>0.52173913043478259</v>
      </c>
      <c r="S42" s="17">
        <f t="shared" si="1"/>
        <v>30</v>
      </c>
    </row>
    <row r="43" spans="1:19">
      <c r="A43" s="8">
        <f t="shared" si="12"/>
        <v>200</v>
      </c>
      <c r="B43" s="5">
        <v>100000001</v>
      </c>
      <c r="C43" s="8">
        <f t="shared" si="13"/>
        <v>230</v>
      </c>
      <c r="D43" s="8">
        <f t="shared" ref="D43:D44" si="80">$D$12*0.5</f>
        <v>5</v>
      </c>
      <c r="E43" s="15">
        <f t="shared" si="67"/>
        <v>18000</v>
      </c>
      <c r="F43" s="16">
        <f t="shared" si="68"/>
        <v>10</v>
      </c>
      <c r="G43" s="8">
        <v>0.5</v>
      </c>
      <c r="H43" s="8">
        <f t="shared" si="77"/>
        <v>1</v>
      </c>
      <c r="I43" s="9">
        <f t="shared" si="78"/>
        <v>29</v>
      </c>
      <c r="J43" s="10">
        <f t="shared" si="70"/>
        <v>10.086956521739131</v>
      </c>
      <c r="K43" s="11">
        <f t="shared" si="71"/>
        <v>161111.11272222223</v>
      </c>
      <c r="L43" s="11">
        <f t="shared" si="72"/>
        <v>15.972222381944443</v>
      </c>
      <c r="M43" s="12">
        <f t="shared" si="73"/>
        <v>2.875</v>
      </c>
      <c r="N43" s="11">
        <f t="shared" si="74"/>
        <v>6.2068964896551728</v>
      </c>
      <c r="O43" s="13">
        <f t="shared" si="75"/>
        <v>29</v>
      </c>
      <c r="Q43" s="17">
        <f t="shared" si="0"/>
        <v>151.30434782608694</v>
      </c>
      <c r="R43" s="14">
        <f t="shared" si="11"/>
        <v>1.0434782608695652</v>
      </c>
      <c r="S43" s="17">
        <f t="shared" si="1"/>
        <v>30</v>
      </c>
    </row>
    <row r="44" spans="1:19">
      <c r="A44" s="8">
        <f t="shared" si="12"/>
        <v>200</v>
      </c>
      <c r="B44" s="5">
        <v>100000002</v>
      </c>
      <c r="C44" s="8">
        <f t="shared" si="13"/>
        <v>230</v>
      </c>
      <c r="D44" s="8">
        <f t="shared" si="80"/>
        <v>5</v>
      </c>
      <c r="E44" s="15">
        <f t="shared" si="67"/>
        <v>18000</v>
      </c>
      <c r="F44" s="16">
        <f t="shared" si="68"/>
        <v>10</v>
      </c>
      <c r="G44" s="8">
        <v>0.8</v>
      </c>
      <c r="H44" s="8">
        <f t="shared" si="77"/>
        <v>1</v>
      </c>
      <c r="I44" s="9">
        <f t="shared" si="78"/>
        <v>46</v>
      </c>
      <c r="J44" s="10">
        <f t="shared" si="70"/>
        <v>10</v>
      </c>
      <c r="K44" s="11">
        <f t="shared" si="71"/>
        <v>255555.56066666669</v>
      </c>
      <c r="L44" s="11">
        <f t="shared" si="72"/>
        <v>25.555556066666668</v>
      </c>
      <c r="M44" s="12">
        <f t="shared" si="73"/>
        <v>4.5999999999999996</v>
      </c>
      <c r="N44" s="11">
        <f t="shared" si="74"/>
        <v>3.9130434000000012</v>
      </c>
      <c r="O44" s="13">
        <f t="shared" si="75"/>
        <v>46</v>
      </c>
      <c r="Q44" s="17">
        <f t="shared" si="0"/>
        <v>150</v>
      </c>
      <c r="R44" s="14">
        <f t="shared" si="11"/>
        <v>0.65217391304347827</v>
      </c>
      <c r="S44" s="17">
        <f t="shared" si="1"/>
        <v>30</v>
      </c>
    </row>
    <row r="45" spans="1:19">
      <c r="J45" s="14"/>
      <c r="Q45" s="17">
        <f>SUM(Q3:Q44)</f>
        <v>5542</v>
      </c>
      <c r="R45" s="17">
        <f>SUM(R3:R44)</f>
        <v>25.549275362318838</v>
      </c>
      <c r="S45" s="17">
        <f>SUM(S3:S44)</f>
        <v>660</v>
      </c>
    </row>
    <row r="46" spans="1:19" ht="27" customHeight="1">
      <c r="A46" s="19" t="s">
        <v>23</v>
      </c>
      <c r="D46" s="3" t="s">
        <v>15</v>
      </c>
      <c r="E46" s="4">
        <v>10</v>
      </c>
      <c r="F46" s="18" t="s">
        <v>22</v>
      </c>
    </row>
    <row r="47" spans="1:19" ht="30" customHeight="1">
      <c r="A47" s="19" t="s">
        <v>24</v>
      </c>
      <c r="D47" s="3" t="s">
        <v>19</v>
      </c>
      <c r="E47" s="4">
        <v>5</v>
      </c>
      <c r="F47" s="18" t="s">
        <v>22</v>
      </c>
    </row>
    <row r="48" spans="1:19">
      <c r="A48" s="19" t="s">
        <v>25</v>
      </c>
      <c r="D48" s="3" t="s">
        <v>20</v>
      </c>
      <c r="E48" s="4">
        <v>5</v>
      </c>
      <c r="F48" s="18" t="s">
        <v>22</v>
      </c>
    </row>
    <row r="49" spans="1:5">
      <c r="A49" s="19" t="s">
        <v>26</v>
      </c>
      <c r="D49" s="3" t="s">
        <v>21</v>
      </c>
      <c r="E49" s="3">
        <f>SUBTOTAL(3,A3:A32)</f>
        <v>30</v>
      </c>
    </row>
    <row r="50" spans="1:5">
      <c r="A50" s="19" t="s">
        <v>27</v>
      </c>
      <c r="D50" s="3" t="s">
        <v>16</v>
      </c>
      <c r="E50" s="1" t="str">
        <f>TEXT((SUM(Q45:S45)+E48*E49)/86400,"h:mm:ss")</f>
        <v>1:46:18</v>
      </c>
    </row>
    <row r="51" spans="1:5">
      <c r="A51" s="19" t="s">
        <v>28</v>
      </c>
      <c r="D51" s="3" t="s">
        <v>17</v>
      </c>
      <c r="E51" s="2">
        <f>E50*2</f>
        <v>0.14763888888888888</v>
      </c>
    </row>
    <row r="54" spans="1:5">
      <c r="A54" s="18" t="s">
        <v>48</v>
      </c>
    </row>
    <row r="55" spans="1:5" ht="16.5">
      <c r="A55" s="18" t="s">
        <v>49</v>
      </c>
    </row>
    <row r="56" spans="1:5">
      <c r="A56" s="19" t="s">
        <v>50</v>
      </c>
    </row>
  </sheetData>
  <phoneticPr fontId="1" type="noConversion"/>
  <conditionalFormatting sqref="N3:N44">
    <cfRule type="cellIs" dxfId="0" priority="6" operator="notBetween">
      <formula>20</formula>
      <formula>-20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98S1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Garmen Jia</dc:creator>
  <cp:lastModifiedBy>John Geny</cp:lastModifiedBy>
  <dcterms:created xsi:type="dcterms:W3CDTF">2006-09-13T11:21:51Z</dcterms:created>
  <dcterms:modified xsi:type="dcterms:W3CDTF">2021-08-09T12:58:28Z</dcterms:modified>
</cp:coreProperties>
</file>