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5"/>
  </bookViews>
  <sheets>
    <sheet name="BLH-XYZ" sheetId="2" r:id="rId1"/>
    <sheet name="XYZ-BLH" sheetId="3" r:id="rId2"/>
    <sheet name="X1Y1Z1-X2Y2Z2" sheetId="4" r:id="rId3"/>
    <sheet name="BL--&gt;xy" sheetId="5" r:id="rId4"/>
    <sheet name="x1y1-x2y2" sheetId="1" r:id="rId5"/>
    <sheet name="Информация" sheetId="6" r:id="rId6"/>
  </sheets>
  <definedNames>
    <definedName name="solver_adj" localSheetId="1" hidden="1">'XYZ-BLH'!$K$3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'XYZ-BLH'!$N$3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0</definedName>
  </definedNames>
  <calcPr calcId="144525" iterate="1"/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Y9" i="5"/>
  <c r="U9" i="5" s="1"/>
  <c r="T9" i="5"/>
  <c r="P9" i="5"/>
  <c r="Y8" i="5"/>
  <c r="U8" i="5"/>
  <c r="T8" i="5"/>
  <c r="P8" i="5" s="1"/>
  <c r="Y7" i="5"/>
  <c r="U7" i="5" s="1"/>
  <c r="T7" i="5"/>
  <c r="P7" i="5"/>
  <c r="Y6" i="5"/>
  <c r="U6" i="5"/>
  <c r="T6" i="5"/>
  <c r="P6" i="5" s="1"/>
  <c r="AM3" i="5"/>
  <c r="AM9" i="5" s="1"/>
  <c r="AL3" i="5"/>
  <c r="AL8" i="5" s="1"/>
  <c r="AK3" i="5"/>
  <c r="AK8" i="5" s="1"/>
  <c r="AJ3" i="5"/>
  <c r="AJ9" i="5" s="1"/>
  <c r="Z3" i="5"/>
  <c r="Z8" i="5" s="1"/>
  <c r="AA8" i="5" s="1"/>
  <c r="N3" i="5"/>
  <c r="N9" i="5" s="1"/>
  <c r="O9" i="5" s="1"/>
  <c r="M3" i="5"/>
  <c r="M9" i="5" s="1"/>
  <c r="N4" i="4"/>
  <c r="L4" i="4"/>
  <c r="O4" i="4" s="1"/>
  <c r="K4" i="4"/>
  <c r="P4" i="4" s="1"/>
  <c r="J4" i="4"/>
  <c r="L3" i="4"/>
  <c r="N3" i="4" s="1"/>
  <c r="K3" i="4"/>
  <c r="P3" i="4" s="1"/>
  <c r="J3" i="4"/>
  <c r="O3" i="4" s="1"/>
  <c r="U6" i="3"/>
  <c r="I6" i="3"/>
  <c r="H6" i="3"/>
  <c r="F6" i="3"/>
  <c r="G6" i="3" s="1"/>
  <c r="J6" i="3" s="1"/>
  <c r="D6" i="3"/>
  <c r="U5" i="3"/>
  <c r="T5" i="3"/>
  <c r="H5" i="3"/>
  <c r="I5" i="3" s="1"/>
  <c r="G5" i="3"/>
  <c r="J5" i="3" s="1"/>
  <c r="F5" i="3"/>
  <c r="D5" i="3"/>
  <c r="V5" i="3" s="1"/>
  <c r="Z5" i="3" s="1"/>
  <c r="V4" i="3"/>
  <c r="Z4" i="3" s="1"/>
  <c r="U4" i="3"/>
  <c r="T4" i="3"/>
  <c r="H4" i="3"/>
  <c r="I4" i="3" s="1"/>
  <c r="G4" i="3"/>
  <c r="J4" i="3" s="1"/>
  <c r="F4" i="3"/>
  <c r="D4" i="3"/>
  <c r="U3" i="3"/>
  <c r="I3" i="3"/>
  <c r="H3" i="3"/>
  <c r="F3" i="3"/>
  <c r="G3" i="3" s="1"/>
  <c r="J3" i="3" s="1"/>
  <c r="D3" i="3"/>
  <c r="T3" i="3" s="1"/>
  <c r="W7" i="2"/>
  <c r="W6" i="2"/>
  <c r="M6" i="2"/>
  <c r="N6" i="2" s="1"/>
  <c r="L6" i="2"/>
  <c r="I6" i="2"/>
  <c r="J6" i="2" s="1"/>
  <c r="E6" i="2"/>
  <c r="D6" i="2"/>
  <c r="W5" i="2"/>
  <c r="M5" i="2"/>
  <c r="N5" i="2" s="1"/>
  <c r="L5" i="2"/>
  <c r="O5" i="2" s="1"/>
  <c r="I5" i="2"/>
  <c r="J5" i="2" s="1"/>
  <c r="E5" i="2"/>
  <c r="D5" i="2"/>
  <c r="W4" i="2"/>
  <c r="M4" i="2"/>
  <c r="N4" i="2" s="1"/>
  <c r="L4" i="2"/>
  <c r="O4" i="2" s="1"/>
  <c r="I4" i="2"/>
  <c r="J4" i="2" s="1"/>
  <c r="E4" i="2"/>
  <c r="D4" i="2"/>
  <c r="M3" i="2"/>
  <c r="N3" i="2" s="1"/>
  <c r="L3" i="2"/>
  <c r="J3" i="2"/>
  <c r="I3" i="2"/>
  <c r="D3" i="2"/>
  <c r="E3" i="2" s="1"/>
  <c r="AJ8" i="5" l="1"/>
  <c r="AJ6" i="5"/>
  <c r="AM8" i="5"/>
  <c r="AM6" i="5"/>
  <c r="Z9" i="5"/>
  <c r="AA9" i="5" s="1"/>
  <c r="Z7" i="5"/>
  <c r="AA7" i="5" s="1"/>
  <c r="P4" i="2"/>
  <c r="Q4" i="2"/>
  <c r="W5" i="3"/>
  <c r="Y5" i="3" s="1"/>
  <c r="R4" i="2"/>
  <c r="O6" i="2"/>
  <c r="R6" i="2"/>
  <c r="P5" i="2"/>
  <c r="Q5" i="2"/>
  <c r="AB9" i="5"/>
  <c r="AC9" i="5" s="1"/>
  <c r="AD9" i="5" s="1"/>
  <c r="AE9" i="5"/>
  <c r="O3" i="2"/>
  <c r="R5" i="2"/>
  <c r="W4" i="3"/>
  <c r="Y4" i="3" s="1"/>
  <c r="AF9" i="5"/>
  <c r="AI9" i="5"/>
  <c r="AH9" i="5"/>
  <c r="AG9" i="5"/>
  <c r="T6" i="3"/>
  <c r="V6" i="3" s="1"/>
  <c r="Z6" i="3" s="1"/>
  <c r="M6" i="5"/>
  <c r="AK7" i="5"/>
  <c r="M8" i="5"/>
  <c r="AK9" i="5"/>
  <c r="V3" i="3"/>
  <c r="Z3" i="3" s="1"/>
  <c r="N6" i="5"/>
  <c r="O6" i="5" s="1"/>
  <c r="AL7" i="5"/>
  <c r="N8" i="5"/>
  <c r="O8" i="5" s="1"/>
  <c r="AL9" i="5"/>
  <c r="AK6" i="5"/>
  <c r="M7" i="5"/>
  <c r="AM7" i="5"/>
  <c r="Z6" i="5"/>
  <c r="AA6" i="5" s="1"/>
  <c r="AL6" i="5"/>
  <c r="N7" i="5"/>
  <c r="O7" i="5" s="1"/>
  <c r="AJ7" i="5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D16" i="1"/>
  <c r="AA15" i="1"/>
  <c r="D15" i="1"/>
  <c r="AA14" i="1"/>
  <c r="D14" i="1"/>
  <c r="AA13" i="1"/>
  <c r="D13" i="1"/>
  <c r="AA12" i="1"/>
  <c r="D12" i="1"/>
  <c r="AA11" i="1"/>
  <c r="D11" i="1"/>
  <c r="AA10" i="1"/>
  <c r="D10" i="1"/>
  <c r="AA9" i="1"/>
  <c r="D9" i="1"/>
  <c r="AA8" i="1"/>
  <c r="D8" i="1"/>
  <c r="DW5" i="1"/>
  <c r="DW10" i="1" s="1"/>
  <c r="DV5" i="1"/>
  <c r="DV8" i="1" s="1"/>
  <c r="DU5" i="1"/>
  <c r="DU13" i="1" s="1"/>
  <c r="DT5" i="1"/>
  <c r="DT15" i="1" s="1"/>
  <c r="DJ5" i="1"/>
  <c r="DJ17" i="1" s="1"/>
  <c r="CN5" i="1"/>
  <c r="CM5" i="1"/>
  <c r="CM16" i="1" s="1"/>
  <c r="CH5" i="1"/>
  <c r="CH12" i="1" s="1"/>
  <c r="CD5" i="1"/>
  <c r="CD17" i="1" s="1"/>
  <c r="CG17" i="1" s="1"/>
  <c r="CC5" i="1"/>
  <c r="CB5" i="1"/>
  <c r="CB14" i="1" s="1"/>
  <c r="CE14" i="1" s="1"/>
  <c r="CA5" i="1"/>
  <c r="CA16" i="1" s="1"/>
  <c r="BZ5" i="1"/>
  <c r="BZ19" i="1" s="1"/>
  <c r="BY5" i="1"/>
  <c r="BU5" i="1"/>
  <c r="BU10" i="1" s="1"/>
  <c r="BQ5" i="1"/>
  <c r="BQ16" i="1" s="1"/>
  <c r="BT16" i="1" s="1"/>
  <c r="BP5" i="1"/>
  <c r="BP13" i="1" s="1"/>
  <c r="BS13" i="1" s="1"/>
  <c r="BO5" i="1"/>
  <c r="BN5" i="1"/>
  <c r="BN13" i="1" s="1"/>
  <c r="BM5" i="1"/>
  <c r="BM13" i="1" s="1"/>
  <c r="BL5" i="1"/>
  <c r="BL15" i="1" s="1"/>
  <c r="AG5" i="1"/>
  <c r="AE5" i="1"/>
  <c r="AE17" i="1" s="1"/>
  <c r="AD5" i="1"/>
  <c r="AD17" i="1" s="1"/>
  <c r="Z5" i="1"/>
  <c r="Z11" i="1" s="1"/>
  <c r="Y5" i="1"/>
  <c r="X5" i="1"/>
  <c r="X15" i="1" s="1"/>
  <c r="AN9" i="5" l="1"/>
  <c r="AP9" i="5" s="1"/>
  <c r="W6" i="3"/>
  <c r="Y6" i="3"/>
  <c r="X6" i="3"/>
  <c r="AH6" i="5"/>
  <c r="AG6" i="5"/>
  <c r="AF6" i="5"/>
  <c r="AI6" i="5"/>
  <c r="AB7" i="5"/>
  <c r="AE7" i="5"/>
  <c r="AC7" i="5"/>
  <c r="AD7" i="5" s="1"/>
  <c r="X3" i="3"/>
  <c r="W3" i="3"/>
  <c r="Y3" i="3"/>
  <c r="AB6" i="5"/>
  <c r="AC6" i="5" s="1"/>
  <c r="AD6" i="5" s="1"/>
  <c r="AE6" i="5"/>
  <c r="AO9" i="5"/>
  <c r="AQ9" i="5" s="1"/>
  <c r="AH8" i="5"/>
  <c r="AG8" i="5"/>
  <c r="AF8" i="5"/>
  <c r="AI8" i="5"/>
  <c r="X4" i="3"/>
  <c r="X5" i="3"/>
  <c r="AF7" i="5"/>
  <c r="AI7" i="5"/>
  <c r="AH7" i="5"/>
  <c r="AG7" i="5"/>
  <c r="AB8" i="5"/>
  <c r="AC8" i="5" s="1"/>
  <c r="AD8" i="5" s="1"/>
  <c r="AE8" i="5"/>
  <c r="Q3" i="2"/>
  <c r="P3" i="2"/>
  <c r="P6" i="2"/>
  <c r="Q6" i="2"/>
  <c r="R3" i="2"/>
  <c r="BN8" i="1"/>
  <c r="DU8" i="1"/>
  <c r="BU8" i="1"/>
  <c r="BU9" i="1"/>
  <c r="X10" i="1"/>
  <c r="AD8" i="1"/>
  <c r="CH8" i="1"/>
  <c r="CB9" i="1"/>
  <c r="CE9" i="1" s="1"/>
  <c r="AE8" i="1"/>
  <c r="CM8" i="1"/>
  <c r="X9" i="1"/>
  <c r="DU9" i="1"/>
  <c r="CB10" i="1"/>
  <c r="CE10" i="1" s="1"/>
  <c r="Y64" i="1"/>
  <c r="Y63" i="1"/>
  <c r="Y62" i="1"/>
  <c r="Y61" i="1"/>
  <c r="Y60" i="1"/>
  <c r="Y59" i="1"/>
  <c r="Y58" i="1"/>
  <c r="Y57" i="1"/>
  <c r="Y56" i="1"/>
  <c r="Y55" i="1"/>
  <c r="Y54" i="1"/>
  <c r="Y52" i="1"/>
  <c r="Y51" i="1"/>
  <c r="Y53" i="1"/>
  <c r="Y50" i="1"/>
  <c r="Y49" i="1"/>
  <c r="Y48" i="1"/>
  <c r="Y47" i="1"/>
  <c r="Y46" i="1"/>
  <c r="Y45" i="1"/>
  <c r="Y44" i="1"/>
  <c r="Y43" i="1"/>
  <c r="Y40" i="1"/>
  <c r="Y39" i="1"/>
  <c r="Y38" i="1"/>
  <c r="Y37" i="1"/>
  <c r="Y42" i="1"/>
  <c r="Y41" i="1"/>
  <c r="Y33" i="1"/>
  <c r="Y36" i="1"/>
  <c r="Y35" i="1"/>
  <c r="Y32" i="1"/>
  <c r="Y31" i="1"/>
  <c r="Y30" i="1"/>
  <c r="Y34" i="1"/>
  <c r="Y29" i="1"/>
  <c r="Y28" i="1"/>
  <c r="Y27" i="1"/>
  <c r="Y15" i="1"/>
  <c r="AB15" i="1" s="1"/>
  <c r="Y25" i="1"/>
  <c r="Y23" i="1"/>
  <c r="Y26" i="1"/>
  <c r="Y24" i="1"/>
  <c r="Y22" i="1"/>
  <c r="Y21" i="1"/>
  <c r="Y20" i="1"/>
  <c r="Y19" i="1"/>
  <c r="AG64" i="1"/>
  <c r="AG63" i="1"/>
  <c r="AG61" i="1"/>
  <c r="AG60" i="1"/>
  <c r="AG59" i="1"/>
  <c r="AG62" i="1"/>
  <c r="AG56" i="1"/>
  <c r="AG55" i="1"/>
  <c r="AG54" i="1"/>
  <c r="AG58" i="1"/>
  <c r="AG57" i="1"/>
  <c r="AG53" i="1"/>
  <c r="AG52" i="1"/>
  <c r="AG51" i="1"/>
  <c r="AG50" i="1"/>
  <c r="AG49" i="1"/>
  <c r="AG47" i="1"/>
  <c r="AG46" i="1"/>
  <c r="AG45" i="1"/>
  <c r="AG44" i="1"/>
  <c r="AG43" i="1"/>
  <c r="AG48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6" i="1"/>
  <c r="AG24" i="1"/>
  <c r="AG15" i="1"/>
  <c r="AG29" i="1"/>
  <c r="AG28" i="1"/>
  <c r="AG27" i="1"/>
  <c r="AG25" i="1"/>
  <c r="AG23" i="1"/>
  <c r="AG22" i="1"/>
  <c r="AG21" i="1"/>
  <c r="AG20" i="1"/>
  <c r="AG19" i="1"/>
  <c r="BO64" i="1"/>
  <c r="BR64" i="1" s="1"/>
  <c r="BO63" i="1"/>
  <c r="BR63" i="1" s="1"/>
  <c r="BO62" i="1"/>
  <c r="BR62" i="1" s="1"/>
  <c r="BO61" i="1"/>
  <c r="BR61" i="1" s="1"/>
  <c r="BO60" i="1"/>
  <c r="BR60" i="1" s="1"/>
  <c r="BO59" i="1"/>
  <c r="BR59" i="1" s="1"/>
  <c r="BO57" i="1"/>
  <c r="BR57" i="1" s="1"/>
  <c r="BO58" i="1"/>
  <c r="BR58" i="1" s="1"/>
  <c r="BO56" i="1"/>
  <c r="BR56" i="1" s="1"/>
  <c r="BO55" i="1"/>
  <c r="BR55" i="1" s="1"/>
  <c r="BO54" i="1"/>
  <c r="BR54" i="1" s="1"/>
  <c r="BO53" i="1"/>
  <c r="BR53" i="1" s="1"/>
  <c r="BO51" i="1"/>
  <c r="BR51" i="1" s="1"/>
  <c r="BO50" i="1"/>
  <c r="BR50" i="1" s="1"/>
  <c r="BO49" i="1"/>
  <c r="BR49" i="1" s="1"/>
  <c r="BO48" i="1"/>
  <c r="BR48" i="1" s="1"/>
  <c r="BO52" i="1"/>
  <c r="BR52" i="1" s="1"/>
  <c r="BO47" i="1"/>
  <c r="BR47" i="1" s="1"/>
  <c r="BO46" i="1"/>
  <c r="BR46" i="1" s="1"/>
  <c r="BO45" i="1"/>
  <c r="BR45" i="1" s="1"/>
  <c r="BO44" i="1"/>
  <c r="BR44" i="1" s="1"/>
  <c r="BO43" i="1"/>
  <c r="BR43" i="1" s="1"/>
  <c r="BO41" i="1"/>
  <c r="BR41" i="1" s="1"/>
  <c r="BO40" i="1"/>
  <c r="BR40" i="1" s="1"/>
  <c r="BO42" i="1"/>
  <c r="BR42" i="1" s="1"/>
  <c r="BO39" i="1"/>
  <c r="BR39" i="1" s="1"/>
  <c r="BO38" i="1"/>
  <c r="BR38" i="1" s="1"/>
  <c r="BO37" i="1"/>
  <c r="BR37" i="1" s="1"/>
  <c r="BO36" i="1"/>
  <c r="BR36" i="1" s="1"/>
  <c r="BO34" i="1"/>
  <c r="BR34" i="1" s="1"/>
  <c r="BO32" i="1"/>
  <c r="BR32" i="1" s="1"/>
  <c r="BO31" i="1"/>
  <c r="BR31" i="1" s="1"/>
  <c r="BO30" i="1"/>
  <c r="BR30" i="1" s="1"/>
  <c r="BO29" i="1"/>
  <c r="BR29" i="1" s="1"/>
  <c r="BO28" i="1"/>
  <c r="BR28" i="1" s="1"/>
  <c r="BO27" i="1"/>
  <c r="BR27" i="1" s="1"/>
  <c r="BO26" i="1"/>
  <c r="BR26" i="1" s="1"/>
  <c r="BO25" i="1"/>
  <c r="BR25" i="1" s="1"/>
  <c r="BO24" i="1"/>
  <c r="BR24" i="1" s="1"/>
  <c r="BO23" i="1"/>
  <c r="BR23" i="1" s="1"/>
  <c r="BO33" i="1"/>
  <c r="BR33" i="1" s="1"/>
  <c r="BO35" i="1"/>
  <c r="BR35" i="1" s="1"/>
  <c r="BO22" i="1"/>
  <c r="BR22" i="1" s="1"/>
  <c r="BO21" i="1"/>
  <c r="BR21" i="1" s="1"/>
  <c r="BO20" i="1"/>
  <c r="BR20" i="1" s="1"/>
  <c r="BO19" i="1"/>
  <c r="BR19" i="1" s="1"/>
  <c r="BO18" i="1"/>
  <c r="BR18" i="1" s="1"/>
  <c r="BY64" i="1"/>
  <c r="BY63" i="1"/>
  <c r="BY62" i="1"/>
  <c r="BY61" i="1"/>
  <c r="BY60" i="1"/>
  <c r="BY59" i="1"/>
  <c r="BY58" i="1"/>
  <c r="BY56" i="1"/>
  <c r="BY55" i="1"/>
  <c r="BY54" i="1"/>
  <c r="BY57" i="1"/>
  <c r="BY53" i="1"/>
  <c r="BY52" i="1"/>
  <c r="BY51" i="1"/>
  <c r="BY48" i="1"/>
  <c r="BY47" i="1"/>
  <c r="BY46" i="1"/>
  <c r="BY45" i="1"/>
  <c r="BY44" i="1"/>
  <c r="BY43" i="1"/>
  <c r="BY50" i="1"/>
  <c r="BY49" i="1"/>
  <c r="BY41" i="1"/>
  <c r="BY40" i="1"/>
  <c r="BY39" i="1"/>
  <c r="BY38" i="1"/>
  <c r="BY37" i="1"/>
  <c r="BY36" i="1"/>
  <c r="BY42" i="1"/>
  <c r="BY34" i="1"/>
  <c r="BY33" i="1"/>
  <c r="BY32" i="1"/>
  <c r="BY31" i="1"/>
  <c r="BY30" i="1"/>
  <c r="BY29" i="1"/>
  <c r="BY35" i="1"/>
  <c r="BY15" i="1"/>
  <c r="BY25" i="1"/>
  <c r="BY23" i="1"/>
  <c r="BY28" i="1"/>
  <c r="BY27" i="1"/>
  <c r="BY26" i="1"/>
  <c r="BY24" i="1"/>
  <c r="BY22" i="1"/>
  <c r="BY21" i="1"/>
  <c r="BY20" i="1"/>
  <c r="BY19" i="1"/>
  <c r="BY18" i="1"/>
  <c r="CC64" i="1"/>
  <c r="CF64" i="1" s="1"/>
  <c r="CC63" i="1"/>
  <c r="CF63" i="1" s="1"/>
  <c r="CC62" i="1"/>
  <c r="CF62" i="1" s="1"/>
  <c r="CC61" i="1"/>
  <c r="CF61" i="1" s="1"/>
  <c r="CC60" i="1"/>
  <c r="CF60" i="1" s="1"/>
  <c r="CC59" i="1"/>
  <c r="CF59" i="1" s="1"/>
  <c r="CC58" i="1"/>
  <c r="CF58" i="1" s="1"/>
  <c r="CC56" i="1"/>
  <c r="CF56" i="1" s="1"/>
  <c r="CC55" i="1"/>
  <c r="CF55" i="1" s="1"/>
  <c r="CC54" i="1"/>
  <c r="CF54" i="1" s="1"/>
  <c r="CC57" i="1"/>
  <c r="CF57" i="1" s="1"/>
  <c r="CC53" i="1"/>
  <c r="CF53" i="1" s="1"/>
  <c r="CC52" i="1"/>
  <c r="CF52" i="1" s="1"/>
  <c r="CC51" i="1"/>
  <c r="CF51" i="1" s="1"/>
  <c r="CC50" i="1"/>
  <c r="CF50" i="1" s="1"/>
  <c r="CC49" i="1"/>
  <c r="CF49" i="1" s="1"/>
  <c r="CC47" i="1"/>
  <c r="CF47" i="1" s="1"/>
  <c r="CC46" i="1"/>
  <c r="CF46" i="1" s="1"/>
  <c r="CC45" i="1"/>
  <c r="CF45" i="1" s="1"/>
  <c r="CC44" i="1"/>
  <c r="CF44" i="1" s="1"/>
  <c r="CC43" i="1"/>
  <c r="CF43" i="1" s="1"/>
  <c r="CC48" i="1"/>
  <c r="CF48" i="1" s="1"/>
  <c r="CC42" i="1"/>
  <c r="CF42" i="1" s="1"/>
  <c r="CC41" i="1"/>
  <c r="CF41" i="1" s="1"/>
  <c r="CC39" i="1"/>
  <c r="CF39" i="1" s="1"/>
  <c r="CC38" i="1"/>
  <c r="CF38" i="1" s="1"/>
  <c r="CC37" i="1"/>
  <c r="CF37" i="1" s="1"/>
  <c r="CC36" i="1"/>
  <c r="CF36" i="1" s="1"/>
  <c r="CC40" i="1"/>
  <c r="CF40" i="1" s="1"/>
  <c r="CC35" i="1"/>
  <c r="CF35" i="1" s="1"/>
  <c r="CC34" i="1"/>
  <c r="CF34" i="1" s="1"/>
  <c r="CC33" i="1"/>
  <c r="CF33" i="1" s="1"/>
  <c r="CC32" i="1"/>
  <c r="CF32" i="1" s="1"/>
  <c r="CC31" i="1"/>
  <c r="CF31" i="1" s="1"/>
  <c r="CC30" i="1"/>
  <c r="CF30" i="1" s="1"/>
  <c r="CC29" i="1"/>
  <c r="CF29" i="1" s="1"/>
  <c r="CC24" i="1"/>
  <c r="CF24" i="1" s="1"/>
  <c r="CC15" i="1"/>
  <c r="CF15" i="1" s="1"/>
  <c r="CC28" i="1"/>
  <c r="CF28" i="1" s="1"/>
  <c r="CC27" i="1"/>
  <c r="CF27" i="1" s="1"/>
  <c r="CC26" i="1"/>
  <c r="CF26" i="1" s="1"/>
  <c r="CC25" i="1"/>
  <c r="CF25" i="1" s="1"/>
  <c r="CC23" i="1"/>
  <c r="CF23" i="1" s="1"/>
  <c r="CC22" i="1"/>
  <c r="CF22" i="1" s="1"/>
  <c r="CC21" i="1"/>
  <c r="CF21" i="1" s="1"/>
  <c r="CC20" i="1"/>
  <c r="CF20" i="1" s="1"/>
  <c r="CC19" i="1"/>
  <c r="CF19" i="1" s="1"/>
  <c r="CC18" i="1"/>
  <c r="CF18" i="1" s="1"/>
  <c r="CN64" i="1"/>
  <c r="CO64" i="1" s="1"/>
  <c r="CN63" i="1"/>
  <c r="CO63" i="1" s="1"/>
  <c r="CN62" i="1"/>
  <c r="CO62" i="1" s="1"/>
  <c r="CN61" i="1"/>
  <c r="CO61" i="1" s="1"/>
  <c r="CN60" i="1"/>
  <c r="CO60" i="1" s="1"/>
  <c r="CN59" i="1"/>
  <c r="CO59" i="1" s="1"/>
  <c r="CN58" i="1"/>
  <c r="CO58" i="1" s="1"/>
  <c r="CN56" i="1"/>
  <c r="CO56" i="1" s="1"/>
  <c r="CN55" i="1"/>
  <c r="CO55" i="1" s="1"/>
  <c r="CN57" i="1"/>
  <c r="CO57" i="1" s="1"/>
  <c r="CN53" i="1"/>
  <c r="CO53" i="1" s="1"/>
  <c r="CN54" i="1"/>
  <c r="CO54" i="1" s="1"/>
  <c r="CN52" i="1"/>
  <c r="CO52" i="1" s="1"/>
  <c r="CN51" i="1"/>
  <c r="CO51" i="1" s="1"/>
  <c r="CN50" i="1"/>
  <c r="CO50" i="1" s="1"/>
  <c r="CN49" i="1"/>
  <c r="CO49" i="1" s="1"/>
  <c r="CN48" i="1"/>
  <c r="CO48" i="1" s="1"/>
  <c r="CN47" i="1"/>
  <c r="CO47" i="1" s="1"/>
  <c r="CN46" i="1"/>
  <c r="CO46" i="1" s="1"/>
  <c r="CN45" i="1"/>
  <c r="CO45" i="1" s="1"/>
  <c r="CN42" i="1"/>
  <c r="CO42" i="1" s="1"/>
  <c r="CN41" i="1"/>
  <c r="CO41" i="1" s="1"/>
  <c r="CN40" i="1"/>
  <c r="CO40" i="1" s="1"/>
  <c r="CN39" i="1"/>
  <c r="CO39" i="1" s="1"/>
  <c r="CN38" i="1"/>
  <c r="CO38" i="1" s="1"/>
  <c r="CN44" i="1"/>
  <c r="CO44" i="1" s="1"/>
  <c r="CN43" i="1"/>
  <c r="CO43" i="1" s="1"/>
  <c r="CN37" i="1"/>
  <c r="CO37" i="1" s="1"/>
  <c r="CN36" i="1"/>
  <c r="CO36" i="1" s="1"/>
  <c r="CN35" i="1"/>
  <c r="CO35" i="1" s="1"/>
  <c r="CN34" i="1"/>
  <c r="CO34" i="1" s="1"/>
  <c r="CN33" i="1"/>
  <c r="CO33" i="1" s="1"/>
  <c r="CN32" i="1"/>
  <c r="CO32" i="1" s="1"/>
  <c r="CN31" i="1"/>
  <c r="CO31" i="1" s="1"/>
  <c r="CN30" i="1"/>
  <c r="CO30" i="1" s="1"/>
  <c r="CN29" i="1"/>
  <c r="CO29" i="1" s="1"/>
  <c r="CN28" i="1"/>
  <c r="CO28" i="1" s="1"/>
  <c r="CN27" i="1"/>
  <c r="CO27" i="1" s="1"/>
  <c r="CN26" i="1"/>
  <c r="CO26" i="1" s="1"/>
  <c r="CN24" i="1"/>
  <c r="CO24" i="1" s="1"/>
  <c r="CN22" i="1"/>
  <c r="CO22" i="1" s="1"/>
  <c r="CN21" i="1"/>
  <c r="CO21" i="1" s="1"/>
  <c r="CN20" i="1"/>
  <c r="CO20" i="1" s="1"/>
  <c r="CN19" i="1"/>
  <c r="CO19" i="1" s="1"/>
  <c r="CN18" i="1"/>
  <c r="CO18" i="1" s="1"/>
  <c r="CN17" i="1"/>
  <c r="CO17" i="1" s="1"/>
  <c r="CN16" i="1"/>
  <c r="CO16" i="1" s="1"/>
  <c r="CN25" i="1"/>
  <c r="CO25" i="1" s="1"/>
  <c r="CN23" i="1"/>
  <c r="CO23" i="1" s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6" i="1"/>
  <c r="DV45" i="1"/>
  <c r="DV44" i="1"/>
  <c r="DV43" i="1"/>
  <c r="DV42" i="1"/>
  <c r="DV41" i="1"/>
  <c r="DV40" i="1"/>
  <c r="DV47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3" i="1"/>
  <c r="DV14" i="1"/>
  <c r="DV24" i="1"/>
  <c r="DV22" i="1"/>
  <c r="DV21" i="1"/>
  <c r="DV20" i="1"/>
  <c r="Y8" i="1"/>
  <c r="AG8" i="1"/>
  <c r="BM8" i="1"/>
  <c r="BQ8" i="1"/>
  <c r="BT8" i="1" s="1"/>
  <c r="BY8" i="1"/>
  <c r="CC8" i="1"/>
  <c r="CF8" i="1" s="1"/>
  <c r="BL9" i="1"/>
  <c r="BP9" i="1"/>
  <c r="BS9" i="1" s="1"/>
  <c r="CN9" i="1"/>
  <c r="CO9" i="1" s="1"/>
  <c r="DT9" i="1"/>
  <c r="AE10" i="1"/>
  <c r="BO10" i="1"/>
  <c r="BR10" i="1" s="1"/>
  <c r="CA10" i="1"/>
  <c r="CM10" i="1"/>
  <c r="AD11" i="1"/>
  <c r="BN11" i="1"/>
  <c r="BZ11" i="1"/>
  <c r="CD11" i="1"/>
  <c r="CG11" i="1" s="1"/>
  <c r="CH11" i="1"/>
  <c r="DJ11" i="1"/>
  <c r="DV11" i="1"/>
  <c r="Y12" i="1"/>
  <c r="AG12" i="1"/>
  <c r="BM12" i="1"/>
  <c r="BQ12" i="1"/>
  <c r="BT12" i="1" s="1"/>
  <c r="BU12" i="1"/>
  <c r="BY12" i="1"/>
  <c r="CC12" i="1"/>
  <c r="CF12" i="1" s="1"/>
  <c r="DU12" i="1"/>
  <c r="X13" i="1"/>
  <c r="BL13" i="1"/>
  <c r="CB13" i="1"/>
  <c r="CE13" i="1" s="1"/>
  <c r="CN13" i="1"/>
  <c r="CO13" i="1" s="1"/>
  <c r="X14" i="1"/>
  <c r="BO14" i="1"/>
  <c r="BR14" i="1" s="1"/>
  <c r="BY14" i="1"/>
  <c r="DU14" i="1"/>
  <c r="CB15" i="1"/>
  <c r="CE15" i="1" s="1"/>
  <c r="CH15" i="1"/>
  <c r="CM15" i="1"/>
  <c r="Y16" i="1"/>
  <c r="AD16" i="1"/>
  <c r="BO16" i="1"/>
  <c r="BR16" i="1" s="1"/>
  <c r="BU16" i="1"/>
  <c r="BZ16" i="1"/>
  <c r="DV16" i="1"/>
  <c r="BN17" i="1"/>
  <c r="BY17" i="1"/>
  <c r="DU17" i="1"/>
  <c r="BZ18" i="1"/>
  <c r="DV18" i="1"/>
  <c r="AD19" i="1"/>
  <c r="DV19" i="1"/>
  <c r="AD20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5" i="1"/>
  <c r="Z23" i="1"/>
  <c r="Z14" i="1"/>
  <c r="Z26" i="1"/>
  <c r="Z24" i="1"/>
  <c r="Z22" i="1"/>
  <c r="Z21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7" i="1"/>
  <c r="BL46" i="1"/>
  <c r="BL45" i="1"/>
  <c r="BL48" i="1"/>
  <c r="BL42" i="1"/>
  <c r="BL44" i="1"/>
  <c r="BL43" i="1"/>
  <c r="BL41" i="1"/>
  <c r="BL39" i="1"/>
  <c r="BL38" i="1"/>
  <c r="BL40" i="1"/>
  <c r="BL35" i="1"/>
  <c r="BL34" i="1"/>
  <c r="BL37" i="1"/>
  <c r="BL36" i="1"/>
  <c r="BL33" i="1"/>
  <c r="BL32" i="1"/>
  <c r="BL31" i="1"/>
  <c r="BL30" i="1"/>
  <c r="BL29" i="1"/>
  <c r="BL28" i="1"/>
  <c r="BL27" i="1"/>
  <c r="BL22" i="1"/>
  <c r="BL21" i="1"/>
  <c r="BL20" i="1"/>
  <c r="BL19" i="1"/>
  <c r="BL18" i="1"/>
  <c r="BL17" i="1"/>
  <c r="BL16" i="1"/>
  <c r="BL24" i="1"/>
  <c r="BL26" i="1"/>
  <c r="BL25" i="1"/>
  <c r="BL23" i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7" i="1"/>
  <c r="BS57" i="1" s="1"/>
  <c r="BP58" i="1"/>
  <c r="BS58" i="1" s="1"/>
  <c r="BP56" i="1"/>
  <c r="BS56" i="1" s="1"/>
  <c r="BP55" i="1"/>
  <c r="BS55" i="1" s="1"/>
  <c r="BP54" i="1"/>
  <c r="BS54" i="1" s="1"/>
  <c r="BP52" i="1"/>
  <c r="BS52" i="1" s="1"/>
  <c r="BP53" i="1"/>
  <c r="BS53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0" i="1"/>
  <c r="BS40" i="1" s="1"/>
  <c r="BP44" i="1"/>
  <c r="BS44" i="1" s="1"/>
  <c r="BP43" i="1"/>
  <c r="BS43" i="1" s="1"/>
  <c r="BP42" i="1"/>
  <c r="BS42" i="1" s="1"/>
  <c r="BP39" i="1"/>
  <c r="BS39" i="1" s="1"/>
  <c r="BP38" i="1"/>
  <c r="BS38" i="1" s="1"/>
  <c r="BP41" i="1"/>
  <c r="BS41" i="1" s="1"/>
  <c r="BP33" i="1"/>
  <c r="BS33" i="1" s="1"/>
  <c r="BP37" i="1"/>
  <c r="BS37" i="1" s="1"/>
  <c r="BP36" i="1"/>
  <c r="BS36" i="1" s="1"/>
  <c r="BP35" i="1"/>
  <c r="BS35" i="1" s="1"/>
  <c r="BP34" i="1"/>
  <c r="BS34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24" i="1"/>
  <c r="BS24" i="1" s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3" i="1"/>
  <c r="BZ14" i="1"/>
  <c r="BZ24" i="1"/>
  <c r="BZ22" i="1"/>
  <c r="BZ21" i="1"/>
  <c r="BZ20" i="1"/>
  <c r="CD64" i="1"/>
  <c r="CG64" i="1" s="1"/>
  <c r="CD63" i="1"/>
  <c r="CG63" i="1" s="1"/>
  <c r="CD62" i="1"/>
  <c r="CG62" i="1" s="1"/>
  <c r="CD61" i="1"/>
  <c r="CG61" i="1" s="1"/>
  <c r="CD60" i="1"/>
  <c r="CG60" i="1" s="1"/>
  <c r="CD59" i="1"/>
  <c r="CG59" i="1" s="1"/>
  <c r="CD58" i="1"/>
  <c r="CG58" i="1" s="1"/>
  <c r="CD57" i="1"/>
  <c r="CG57" i="1" s="1"/>
  <c r="CD56" i="1"/>
  <c r="CG56" i="1" s="1"/>
  <c r="CD55" i="1"/>
  <c r="CG55" i="1" s="1"/>
  <c r="CD54" i="1"/>
  <c r="CG54" i="1" s="1"/>
  <c r="CD53" i="1"/>
  <c r="CG53" i="1" s="1"/>
  <c r="CD52" i="1"/>
  <c r="CG52" i="1" s="1"/>
  <c r="CD51" i="1"/>
  <c r="CG51" i="1" s="1"/>
  <c r="CD50" i="1"/>
  <c r="CG50" i="1" s="1"/>
  <c r="CD49" i="1"/>
  <c r="CG49" i="1" s="1"/>
  <c r="CD47" i="1"/>
  <c r="CG47" i="1" s="1"/>
  <c r="CD46" i="1"/>
  <c r="CG46" i="1" s="1"/>
  <c r="CD45" i="1"/>
  <c r="CG45" i="1" s="1"/>
  <c r="CD44" i="1"/>
  <c r="CG44" i="1" s="1"/>
  <c r="CD43" i="1"/>
  <c r="CG43" i="1" s="1"/>
  <c r="CD42" i="1"/>
  <c r="CG42" i="1" s="1"/>
  <c r="CD41" i="1"/>
  <c r="CG41" i="1" s="1"/>
  <c r="CD40" i="1"/>
  <c r="CG40" i="1" s="1"/>
  <c r="CD48" i="1"/>
  <c r="CG48" i="1" s="1"/>
  <c r="CD39" i="1"/>
  <c r="CG39" i="1" s="1"/>
  <c r="CD38" i="1"/>
  <c r="CG38" i="1" s="1"/>
  <c r="CD37" i="1"/>
  <c r="CG37" i="1" s="1"/>
  <c r="CD36" i="1"/>
  <c r="CG36" i="1" s="1"/>
  <c r="CD35" i="1"/>
  <c r="CG35" i="1" s="1"/>
  <c r="CD34" i="1"/>
  <c r="CG34" i="1" s="1"/>
  <c r="CD33" i="1"/>
  <c r="CG33" i="1" s="1"/>
  <c r="CD32" i="1"/>
  <c r="CG32" i="1" s="1"/>
  <c r="CD31" i="1"/>
  <c r="CG31" i="1" s="1"/>
  <c r="CD30" i="1"/>
  <c r="CG30" i="1" s="1"/>
  <c r="CD29" i="1"/>
  <c r="CG29" i="1" s="1"/>
  <c r="CD28" i="1"/>
  <c r="CG28" i="1" s="1"/>
  <c r="CD27" i="1"/>
  <c r="CG27" i="1" s="1"/>
  <c r="CD26" i="1"/>
  <c r="CG26" i="1" s="1"/>
  <c r="CD14" i="1"/>
  <c r="CG14" i="1" s="1"/>
  <c r="CD25" i="1"/>
  <c r="CG25" i="1" s="1"/>
  <c r="CD23" i="1"/>
  <c r="CG23" i="1" s="1"/>
  <c r="CD22" i="1"/>
  <c r="CG22" i="1" s="1"/>
  <c r="CD21" i="1"/>
  <c r="CG21" i="1" s="1"/>
  <c r="CD20" i="1"/>
  <c r="CG20" i="1" s="1"/>
  <c r="CD24" i="1"/>
  <c r="CG24" i="1" s="1"/>
  <c r="DJ64" i="1"/>
  <c r="DJ63" i="1"/>
  <c r="DJ62" i="1"/>
  <c r="DJ60" i="1"/>
  <c r="DJ59" i="1"/>
  <c r="DJ58" i="1"/>
  <c r="DJ57" i="1"/>
  <c r="DJ56" i="1"/>
  <c r="DJ61" i="1"/>
  <c r="DJ55" i="1"/>
  <c r="DJ54" i="1"/>
  <c r="DJ53" i="1"/>
  <c r="DJ52" i="1"/>
  <c r="DJ51" i="1"/>
  <c r="DJ50" i="1"/>
  <c r="DJ49" i="1"/>
  <c r="DJ46" i="1"/>
  <c r="DJ45" i="1"/>
  <c r="DJ44" i="1"/>
  <c r="DJ43" i="1"/>
  <c r="DJ42" i="1"/>
  <c r="DJ41" i="1"/>
  <c r="DJ40" i="1"/>
  <c r="DJ48" i="1"/>
  <c r="DJ47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14" i="1"/>
  <c r="DJ25" i="1"/>
  <c r="DJ23" i="1"/>
  <c r="DJ22" i="1"/>
  <c r="DJ21" i="1"/>
  <c r="DJ20" i="1"/>
  <c r="DJ24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0" i="1"/>
  <c r="DW49" i="1"/>
  <c r="DW48" i="1"/>
  <c r="DW47" i="1"/>
  <c r="DW51" i="1"/>
  <c r="DW46" i="1"/>
  <c r="DW45" i="1"/>
  <c r="DW44" i="1"/>
  <c r="DW43" i="1"/>
  <c r="DW42" i="1"/>
  <c r="DW40" i="1"/>
  <c r="DW41" i="1"/>
  <c r="DW39" i="1"/>
  <c r="DW38" i="1"/>
  <c r="DW37" i="1"/>
  <c r="DW36" i="1"/>
  <c r="DW33" i="1"/>
  <c r="DW31" i="1"/>
  <c r="DW30" i="1"/>
  <c r="DW29" i="1"/>
  <c r="DW28" i="1"/>
  <c r="DW27" i="1"/>
  <c r="DW26" i="1"/>
  <c r="DW25" i="1"/>
  <c r="DW24" i="1"/>
  <c r="DW23" i="1"/>
  <c r="DW22" i="1"/>
  <c r="DW32" i="1"/>
  <c r="DW35" i="1"/>
  <c r="DW34" i="1"/>
  <c r="DW13" i="1"/>
  <c r="DW21" i="1"/>
  <c r="DW20" i="1"/>
  <c r="DW19" i="1"/>
  <c r="DW18" i="1"/>
  <c r="Z8" i="1"/>
  <c r="BZ8" i="1"/>
  <c r="CD8" i="1"/>
  <c r="CG8" i="1" s="1"/>
  <c r="DJ8" i="1"/>
  <c r="Y9" i="1"/>
  <c r="AG9" i="1"/>
  <c r="BM9" i="1"/>
  <c r="BQ9" i="1"/>
  <c r="BT9" i="1" s="1"/>
  <c r="BY9" i="1"/>
  <c r="CC9" i="1"/>
  <c r="CF9" i="1" s="1"/>
  <c r="BL10" i="1"/>
  <c r="BP10" i="1"/>
  <c r="BS10" i="1" s="1"/>
  <c r="CN10" i="1"/>
  <c r="CO10" i="1" s="1"/>
  <c r="DT10" i="1"/>
  <c r="AE11" i="1"/>
  <c r="BO11" i="1"/>
  <c r="BR11" i="1" s="1"/>
  <c r="CA11" i="1"/>
  <c r="CM11" i="1"/>
  <c r="DW11" i="1"/>
  <c r="Z12" i="1"/>
  <c r="AD12" i="1"/>
  <c r="BN12" i="1"/>
  <c r="BZ12" i="1"/>
  <c r="CD12" i="1"/>
  <c r="CG12" i="1" s="1"/>
  <c r="DJ12" i="1"/>
  <c r="DV12" i="1"/>
  <c r="Y13" i="1"/>
  <c r="AB13" i="1" s="1"/>
  <c r="AG13" i="1"/>
  <c r="BQ13" i="1"/>
  <c r="BT13" i="1" s="1"/>
  <c r="BU13" i="1"/>
  <c r="BY13" i="1"/>
  <c r="CC13" i="1"/>
  <c r="CF13" i="1" s="1"/>
  <c r="DT13" i="1"/>
  <c r="Y14" i="1"/>
  <c r="AE14" i="1"/>
  <c r="BP14" i="1"/>
  <c r="BS14" i="1" s="1"/>
  <c r="BU14" i="1"/>
  <c r="CA14" i="1"/>
  <c r="DW14" i="1"/>
  <c r="BN15" i="1"/>
  <c r="CD15" i="1"/>
  <c r="CG15" i="1" s="1"/>
  <c r="CN15" i="1"/>
  <c r="CO15" i="1" s="1"/>
  <c r="DJ15" i="1"/>
  <c r="Z16" i="1"/>
  <c r="AE16" i="1"/>
  <c r="DW16" i="1"/>
  <c r="Y17" i="1"/>
  <c r="BO17" i="1"/>
  <c r="BR17" i="1" s="1"/>
  <c r="BU17" i="1"/>
  <c r="BZ17" i="1"/>
  <c r="DV17" i="1"/>
  <c r="BN18" i="1"/>
  <c r="CD18" i="1"/>
  <c r="CG18" i="1" s="1"/>
  <c r="DJ18" i="1"/>
  <c r="BN19" i="1"/>
  <c r="CD19" i="1"/>
  <c r="CG19" i="1" s="1"/>
  <c r="DJ19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5" i="1"/>
  <c r="AD23" i="1"/>
  <c r="AD14" i="1"/>
  <c r="AD26" i="1"/>
  <c r="AD24" i="1"/>
  <c r="AD22" i="1"/>
  <c r="AD21" i="1"/>
  <c r="BM64" i="1"/>
  <c r="BM63" i="1"/>
  <c r="BM62" i="1"/>
  <c r="BM61" i="1"/>
  <c r="BM60" i="1"/>
  <c r="BM59" i="1"/>
  <c r="BM58" i="1"/>
  <c r="BM56" i="1"/>
  <c r="BM55" i="1"/>
  <c r="BM54" i="1"/>
  <c r="BM57" i="1"/>
  <c r="BM53" i="1"/>
  <c r="BM52" i="1"/>
  <c r="BM51" i="1"/>
  <c r="BM50" i="1"/>
  <c r="BM49" i="1"/>
  <c r="BM47" i="1"/>
  <c r="BM46" i="1"/>
  <c r="BM45" i="1"/>
  <c r="BM44" i="1"/>
  <c r="BM43" i="1"/>
  <c r="BM48" i="1"/>
  <c r="BM42" i="1"/>
  <c r="BM41" i="1"/>
  <c r="BM39" i="1"/>
  <c r="BM38" i="1"/>
  <c r="BM37" i="1"/>
  <c r="BM36" i="1"/>
  <c r="BM40" i="1"/>
  <c r="BM35" i="1"/>
  <c r="BM34" i="1"/>
  <c r="BM33" i="1"/>
  <c r="BM32" i="1"/>
  <c r="BM31" i="1"/>
  <c r="BM30" i="1"/>
  <c r="BM29" i="1"/>
  <c r="BM24" i="1"/>
  <c r="BM15" i="1"/>
  <c r="BM28" i="1"/>
  <c r="BM27" i="1"/>
  <c r="BM26" i="1"/>
  <c r="BM25" i="1"/>
  <c r="BM23" i="1"/>
  <c r="BM22" i="1"/>
  <c r="BM21" i="1"/>
  <c r="BM20" i="1"/>
  <c r="BM19" i="1"/>
  <c r="BM18" i="1"/>
  <c r="BQ64" i="1"/>
  <c r="BT64" i="1" s="1"/>
  <c r="BQ63" i="1"/>
  <c r="BT63" i="1" s="1"/>
  <c r="BQ62" i="1"/>
  <c r="BT62" i="1" s="1"/>
  <c r="BQ61" i="1"/>
  <c r="BT61" i="1" s="1"/>
  <c r="BQ60" i="1"/>
  <c r="BT60" i="1" s="1"/>
  <c r="BQ59" i="1"/>
  <c r="BT59" i="1" s="1"/>
  <c r="BQ58" i="1"/>
  <c r="BT58" i="1" s="1"/>
  <c r="BQ57" i="1"/>
  <c r="BT57" i="1" s="1"/>
  <c r="BQ56" i="1"/>
  <c r="BT56" i="1" s="1"/>
  <c r="BQ55" i="1"/>
  <c r="BT55" i="1" s="1"/>
  <c r="BQ54" i="1"/>
  <c r="BT54" i="1" s="1"/>
  <c r="BQ53" i="1"/>
  <c r="BT53" i="1" s="1"/>
  <c r="BQ51" i="1"/>
  <c r="BT51" i="1" s="1"/>
  <c r="BQ52" i="1"/>
  <c r="BT52" i="1" s="1"/>
  <c r="BQ50" i="1"/>
  <c r="BT50" i="1" s="1"/>
  <c r="BQ49" i="1"/>
  <c r="BT49" i="1" s="1"/>
  <c r="BQ47" i="1"/>
  <c r="BT47" i="1" s="1"/>
  <c r="BQ46" i="1"/>
  <c r="BT46" i="1" s="1"/>
  <c r="BQ45" i="1"/>
  <c r="BT45" i="1" s="1"/>
  <c r="BQ44" i="1"/>
  <c r="BT44" i="1" s="1"/>
  <c r="BQ43" i="1"/>
  <c r="BT43" i="1" s="1"/>
  <c r="BQ48" i="1"/>
  <c r="BT48" i="1" s="1"/>
  <c r="BQ42" i="1"/>
  <c r="BT42" i="1" s="1"/>
  <c r="BQ39" i="1"/>
  <c r="BT39" i="1" s="1"/>
  <c r="BQ38" i="1"/>
  <c r="BT38" i="1" s="1"/>
  <c r="BQ37" i="1"/>
  <c r="BT37" i="1" s="1"/>
  <c r="BQ36" i="1"/>
  <c r="BT36" i="1" s="1"/>
  <c r="BQ41" i="1"/>
  <c r="BT41" i="1" s="1"/>
  <c r="BQ40" i="1"/>
  <c r="BT40" i="1" s="1"/>
  <c r="BQ35" i="1"/>
  <c r="BT35" i="1" s="1"/>
  <c r="BQ34" i="1"/>
  <c r="BT34" i="1" s="1"/>
  <c r="BQ32" i="1"/>
  <c r="BT32" i="1" s="1"/>
  <c r="BQ31" i="1"/>
  <c r="BT31" i="1" s="1"/>
  <c r="BQ30" i="1"/>
  <c r="BT30" i="1" s="1"/>
  <c r="BQ29" i="1"/>
  <c r="BT29" i="1" s="1"/>
  <c r="BQ33" i="1"/>
  <c r="BT33" i="1" s="1"/>
  <c r="BQ28" i="1"/>
  <c r="BT28" i="1" s="1"/>
  <c r="BQ27" i="1"/>
  <c r="BT27" i="1" s="1"/>
  <c r="BQ15" i="1"/>
  <c r="BT15" i="1" s="1"/>
  <c r="BQ24" i="1"/>
  <c r="BT24" i="1" s="1"/>
  <c r="BQ26" i="1"/>
  <c r="BT26" i="1" s="1"/>
  <c r="BQ25" i="1"/>
  <c r="BT25" i="1" s="1"/>
  <c r="BQ23" i="1"/>
  <c r="BT23" i="1" s="1"/>
  <c r="BQ22" i="1"/>
  <c r="BT22" i="1" s="1"/>
  <c r="BQ21" i="1"/>
  <c r="BT21" i="1" s="1"/>
  <c r="BQ20" i="1"/>
  <c r="BT20" i="1" s="1"/>
  <c r="BQ19" i="1"/>
  <c r="BT19" i="1" s="1"/>
  <c r="BQ18" i="1"/>
  <c r="BT18" i="1" s="1"/>
  <c r="CA64" i="1"/>
  <c r="CA63" i="1"/>
  <c r="CA62" i="1"/>
  <c r="CA61" i="1"/>
  <c r="CA60" i="1"/>
  <c r="CA59" i="1"/>
  <c r="CA58" i="1"/>
  <c r="CA57" i="1"/>
  <c r="CA56" i="1"/>
  <c r="CA55" i="1"/>
  <c r="CA54" i="1"/>
  <c r="CA52" i="1"/>
  <c r="CA51" i="1"/>
  <c r="CA50" i="1"/>
  <c r="CA49" i="1"/>
  <c r="CA48" i="1"/>
  <c r="CA53" i="1"/>
  <c r="CA47" i="1"/>
  <c r="CA46" i="1"/>
  <c r="CA45" i="1"/>
  <c r="CA44" i="1"/>
  <c r="CA43" i="1"/>
  <c r="CA40" i="1"/>
  <c r="CA42" i="1"/>
  <c r="CA41" i="1"/>
  <c r="CA39" i="1"/>
  <c r="CA38" i="1"/>
  <c r="CA37" i="1"/>
  <c r="CA36" i="1"/>
  <c r="CA33" i="1"/>
  <c r="CA32" i="1"/>
  <c r="CA31" i="1"/>
  <c r="CA30" i="1"/>
  <c r="CA29" i="1"/>
  <c r="CA28" i="1"/>
  <c r="CA27" i="1"/>
  <c r="CA26" i="1"/>
  <c r="CA25" i="1"/>
  <c r="CA24" i="1"/>
  <c r="CA23" i="1"/>
  <c r="CA35" i="1"/>
  <c r="CA34" i="1"/>
  <c r="CA22" i="1"/>
  <c r="CA21" i="1"/>
  <c r="CA20" i="1"/>
  <c r="CA19" i="1"/>
  <c r="CA18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7" i="1"/>
  <c r="CH46" i="1"/>
  <c r="CH45" i="1"/>
  <c r="CH44" i="1"/>
  <c r="CH43" i="1"/>
  <c r="CH42" i="1"/>
  <c r="CH41" i="1"/>
  <c r="CH40" i="1"/>
  <c r="CH48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4" i="1"/>
  <c r="CH14" i="1"/>
  <c r="CH25" i="1"/>
  <c r="CH23" i="1"/>
  <c r="CH22" i="1"/>
  <c r="CH21" i="1"/>
  <c r="CH20" i="1"/>
  <c r="DT64" i="1"/>
  <c r="DT63" i="1"/>
  <c r="DT62" i="1"/>
  <c r="DT61" i="1"/>
  <c r="DT60" i="1"/>
  <c r="DT59" i="1"/>
  <c r="DT58" i="1"/>
  <c r="DT56" i="1"/>
  <c r="DT55" i="1"/>
  <c r="DT57" i="1"/>
  <c r="DT53" i="1"/>
  <c r="DT54" i="1"/>
  <c r="DT52" i="1"/>
  <c r="DT51" i="1"/>
  <c r="DT50" i="1"/>
  <c r="DT49" i="1"/>
  <c r="DT48" i="1"/>
  <c r="DT47" i="1"/>
  <c r="DT46" i="1"/>
  <c r="DT45" i="1"/>
  <c r="DT44" i="1"/>
  <c r="DT42" i="1"/>
  <c r="DT41" i="1"/>
  <c r="DT40" i="1"/>
  <c r="DT39" i="1"/>
  <c r="DT38" i="1"/>
  <c r="DT37" i="1"/>
  <c r="DT43" i="1"/>
  <c r="DT36" i="1"/>
  <c r="DT35" i="1"/>
  <c r="DT34" i="1"/>
  <c r="DT33" i="1"/>
  <c r="DT32" i="1"/>
  <c r="DT31" i="1"/>
  <c r="DT30" i="1"/>
  <c r="DT29" i="1"/>
  <c r="DT28" i="1"/>
  <c r="DT27" i="1"/>
  <c r="DT26" i="1"/>
  <c r="DT24" i="1"/>
  <c r="DT22" i="1"/>
  <c r="DT21" i="1"/>
  <c r="DT20" i="1"/>
  <c r="DT19" i="1"/>
  <c r="DT18" i="1"/>
  <c r="DT17" i="1"/>
  <c r="DT16" i="1"/>
  <c r="DT25" i="1"/>
  <c r="DT23" i="1"/>
  <c r="BO8" i="1"/>
  <c r="BR8" i="1" s="1"/>
  <c r="CA8" i="1"/>
  <c r="DW8" i="1"/>
  <c r="Z9" i="1"/>
  <c r="AC9" i="1" s="1"/>
  <c r="AD9" i="1"/>
  <c r="BN9" i="1"/>
  <c r="BZ9" i="1"/>
  <c r="CD9" i="1"/>
  <c r="CG9" i="1" s="1"/>
  <c r="CH9" i="1"/>
  <c r="DJ9" i="1"/>
  <c r="DV9" i="1"/>
  <c r="Y10" i="1"/>
  <c r="AB10" i="1" s="1"/>
  <c r="AG10" i="1"/>
  <c r="BM10" i="1"/>
  <c r="BQ10" i="1"/>
  <c r="BT10" i="1" s="1"/>
  <c r="BY10" i="1"/>
  <c r="CC10" i="1"/>
  <c r="CF10" i="1" s="1"/>
  <c r="DU10" i="1"/>
  <c r="X11" i="1"/>
  <c r="AC11" i="1" s="1"/>
  <c r="BL11" i="1"/>
  <c r="BP11" i="1"/>
  <c r="BS11" i="1" s="1"/>
  <c r="CB11" i="1"/>
  <c r="CE11" i="1" s="1"/>
  <c r="CN11" i="1"/>
  <c r="CO11" i="1" s="1"/>
  <c r="DT11" i="1"/>
  <c r="AE12" i="1"/>
  <c r="BO12" i="1"/>
  <c r="BR12" i="1" s="1"/>
  <c r="CA12" i="1"/>
  <c r="CM12" i="1"/>
  <c r="DW12" i="1"/>
  <c r="Z13" i="1"/>
  <c r="AD13" i="1"/>
  <c r="BZ13" i="1"/>
  <c r="CD13" i="1"/>
  <c r="CG13" i="1" s="1"/>
  <c r="CH13" i="1"/>
  <c r="DJ13" i="1"/>
  <c r="BL14" i="1"/>
  <c r="BQ14" i="1"/>
  <c r="BT14" i="1" s="1"/>
  <c r="CM14" i="1"/>
  <c r="AD15" i="1"/>
  <c r="BO15" i="1"/>
  <c r="BR15" i="1" s="1"/>
  <c r="BZ15" i="1"/>
  <c r="DV15" i="1"/>
  <c r="AG16" i="1"/>
  <c r="BM16" i="1"/>
  <c r="CC16" i="1"/>
  <c r="CF16" i="1" s="1"/>
  <c r="CH16" i="1"/>
  <c r="Z17" i="1"/>
  <c r="BQ17" i="1"/>
  <c r="BT17" i="1" s="1"/>
  <c r="CA17" i="1"/>
  <c r="DW17" i="1"/>
  <c r="Y18" i="1"/>
  <c r="AD18" i="1"/>
  <c r="CH18" i="1"/>
  <c r="Z19" i="1"/>
  <c r="CH19" i="1"/>
  <c r="Z20" i="1"/>
  <c r="X64" i="1"/>
  <c r="X63" i="1"/>
  <c r="X62" i="1"/>
  <c r="X61" i="1"/>
  <c r="X60" i="1"/>
  <c r="X59" i="1"/>
  <c r="X58" i="1"/>
  <c r="X57" i="1"/>
  <c r="X56" i="1"/>
  <c r="X55" i="1"/>
  <c r="X53" i="1"/>
  <c r="X54" i="1"/>
  <c r="X52" i="1"/>
  <c r="X51" i="1"/>
  <c r="X50" i="1"/>
  <c r="X49" i="1"/>
  <c r="X48" i="1"/>
  <c r="X47" i="1"/>
  <c r="X46" i="1"/>
  <c r="X45" i="1"/>
  <c r="X41" i="1"/>
  <c r="X44" i="1"/>
  <c r="X43" i="1"/>
  <c r="X40" i="1"/>
  <c r="X39" i="1"/>
  <c r="X38" i="1"/>
  <c r="X42" i="1"/>
  <c r="X34" i="1"/>
  <c r="X33" i="1"/>
  <c r="X37" i="1"/>
  <c r="X36" i="1"/>
  <c r="X35" i="1"/>
  <c r="X32" i="1"/>
  <c r="X31" i="1"/>
  <c r="X30" i="1"/>
  <c r="X29" i="1"/>
  <c r="X28" i="1"/>
  <c r="X27" i="1"/>
  <c r="X26" i="1"/>
  <c r="X24" i="1"/>
  <c r="X22" i="1"/>
  <c r="X21" i="1"/>
  <c r="X20" i="1"/>
  <c r="X19" i="1"/>
  <c r="X18" i="1"/>
  <c r="X17" i="1"/>
  <c r="X16" i="1"/>
  <c r="X25" i="1"/>
  <c r="X23" i="1"/>
  <c r="AE64" i="1"/>
  <c r="AE63" i="1"/>
  <c r="AE62" i="1"/>
  <c r="AE61" i="1"/>
  <c r="AE60" i="1"/>
  <c r="AE59" i="1"/>
  <c r="AE58" i="1"/>
  <c r="AE57" i="1"/>
  <c r="AE56" i="1"/>
  <c r="AE55" i="1"/>
  <c r="AE52" i="1"/>
  <c r="AE51" i="1"/>
  <c r="AE50" i="1"/>
  <c r="AE49" i="1"/>
  <c r="AE48" i="1"/>
  <c r="AE54" i="1"/>
  <c r="AE53" i="1"/>
  <c r="AE47" i="1"/>
  <c r="AE46" i="1"/>
  <c r="AE45" i="1"/>
  <c r="AE44" i="1"/>
  <c r="AE43" i="1"/>
  <c r="AE42" i="1"/>
  <c r="AE41" i="1"/>
  <c r="AE40" i="1"/>
  <c r="AE39" i="1"/>
  <c r="AE38" i="1"/>
  <c r="AE37" i="1"/>
  <c r="AE33" i="1"/>
  <c r="AE32" i="1"/>
  <c r="AE31" i="1"/>
  <c r="AE30" i="1"/>
  <c r="AE29" i="1"/>
  <c r="AE28" i="1"/>
  <c r="AE27" i="1"/>
  <c r="AE26" i="1"/>
  <c r="AE25" i="1"/>
  <c r="AE24" i="1"/>
  <c r="AE23" i="1"/>
  <c r="AE36" i="1"/>
  <c r="AE35" i="1"/>
  <c r="AE34" i="1"/>
  <c r="AE22" i="1"/>
  <c r="AE21" i="1"/>
  <c r="AE20" i="1"/>
  <c r="AE19" i="1"/>
  <c r="AE18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7" i="1"/>
  <c r="BN46" i="1"/>
  <c r="BN45" i="1"/>
  <c r="BN44" i="1"/>
  <c r="BN43" i="1"/>
  <c r="BN42" i="1"/>
  <c r="BN41" i="1"/>
  <c r="BN40" i="1"/>
  <c r="BN48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14" i="1"/>
  <c r="BN25" i="1"/>
  <c r="BN23" i="1"/>
  <c r="BN22" i="1"/>
  <c r="BN21" i="1"/>
  <c r="BN20" i="1"/>
  <c r="BN24" i="1"/>
  <c r="BU64" i="1"/>
  <c r="BU63" i="1"/>
  <c r="BU62" i="1"/>
  <c r="BU61" i="1"/>
  <c r="BU60" i="1"/>
  <c r="BU59" i="1"/>
  <c r="BU58" i="1"/>
  <c r="BU57" i="1"/>
  <c r="BU56" i="1"/>
  <c r="BU55" i="1"/>
  <c r="BU54" i="1"/>
  <c r="BU52" i="1"/>
  <c r="BU51" i="1"/>
  <c r="BU53" i="1"/>
  <c r="BU48" i="1"/>
  <c r="BU47" i="1"/>
  <c r="BU46" i="1"/>
  <c r="BU45" i="1"/>
  <c r="BU44" i="1"/>
  <c r="BU43" i="1"/>
  <c r="BU50" i="1"/>
  <c r="BU49" i="1"/>
  <c r="BU40" i="1"/>
  <c r="BU39" i="1"/>
  <c r="BU38" i="1"/>
  <c r="BU37" i="1"/>
  <c r="BU36" i="1"/>
  <c r="BU42" i="1"/>
  <c r="BU41" i="1"/>
  <c r="BU33" i="1"/>
  <c r="BU35" i="1"/>
  <c r="BU32" i="1"/>
  <c r="BU31" i="1"/>
  <c r="BU30" i="1"/>
  <c r="BU29" i="1"/>
  <c r="BU34" i="1"/>
  <c r="BU25" i="1"/>
  <c r="BU23" i="1"/>
  <c r="BU15" i="1"/>
  <c r="BU26" i="1"/>
  <c r="BU24" i="1"/>
  <c r="BU28" i="1"/>
  <c r="BU27" i="1"/>
  <c r="BU22" i="1"/>
  <c r="BU21" i="1"/>
  <c r="BU20" i="1"/>
  <c r="BU19" i="1"/>
  <c r="BU18" i="1"/>
  <c r="CB64" i="1"/>
  <c r="CE64" i="1" s="1"/>
  <c r="CB63" i="1"/>
  <c r="CE63" i="1" s="1"/>
  <c r="CB62" i="1"/>
  <c r="CE62" i="1" s="1"/>
  <c r="CB61" i="1"/>
  <c r="CE61" i="1" s="1"/>
  <c r="CB60" i="1"/>
  <c r="CE60" i="1" s="1"/>
  <c r="CB59" i="1"/>
  <c r="CE59" i="1" s="1"/>
  <c r="CB58" i="1"/>
  <c r="CE58" i="1" s="1"/>
  <c r="CB57" i="1"/>
  <c r="CE57" i="1" s="1"/>
  <c r="CB56" i="1"/>
  <c r="CE56" i="1" s="1"/>
  <c r="CB55" i="1"/>
  <c r="CE55" i="1" s="1"/>
  <c r="CB54" i="1"/>
  <c r="CE54" i="1" s="1"/>
  <c r="CB53" i="1"/>
  <c r="CE53" i="1" s="1"/>
  <c r="CB52" i="1"/>
  <c r="CE52" i="1" s="1"/>
  <c r="CB51" i="1"/>
  <c r="CE51" i="1" s="1"/>
  <c r="CB50" i="1"/>
  <c r="CE50" i="1" s="1"/>
  <c r="CB49" i="1"/>
  <c r="CE49" i="1" s="1"/>
  <c r="CB47" i="1"/>
  <c r="CE47" i="1" s="1"/>
  <c r="CB46" i="1"/>
  <c r="CE46" i="1" s="1"/>
  <c r="CB45" i="1"/>
  <c r="CE45" i="1" s="1"/>
  <c r="CB48" i="1"/>
  <c r="CE48" i="1" s="1"/>
  <c r="CB42" i="1"/>
  <c r="CE42" i="1" s="1"/>
  <c r="CB44" i="1"/>
  <c r="CE44" i="1" s="1"/>
  <c r="CB43" i="1"/>
  <c r="CE43" i="1" s="1"/>
  <c r="CB41" i="1"/>
  <c r="CE41" i="1" s="1"/>
  <c r="CB39" i="1"/>
  <c r="CE39" i="1" s="1"/>
  <c r="CB38" i="1"/>
  <c r="CE38" i="1" s="1"/>
  <c r="CB40" i="1"/>
  <c r="CE40" i="1" s="1"/>
  <c r="CB35" i="1"/>
  <c r="CE35" i="1" s="1"/>
  <c r="CB34" i="1"/>
  <c r="CE34" i="1" s="1"/>
  <c r="CB37" i="1"/>
  <c r="CE37" i="1" s="1"/>
  <c r="CB36" i="1"/>
  <c r="CE36" i="1" s="1"/>
  <c r="CB33" i="1"/>
  <c r="CE33" i="1" s="1"/>
  <c r="CB32" i="1"/>
  <c r="CE32" i="1" s="1"/>
  <c r="CB31" i="1"/>
  <c r="CE31" i="1" s="1"/>
  <c r="CB30" i="1"/>
  <c r="CE30" i="1" s="1"/>
  <c r="CB29" i="1"/>
  <c r="CE29" i="1" s="1"/>
  <c r="CB28" i="1"/>
  <c r="CE28" i="1" s="1"/>
  <c r="CB27" i="1"/>
  <c r="CE27" i="1" s="1"/>
  <c r="CB22" i="1"/>
  <c r="CE22" i="1" s="1"/>
  <c r="CB21" i="1"/>
  <c r="CE21" i="1" s="1"/>
  <c r="CB20" i="1"/>
  <c r="CE20" i="1" s="1"/>
  <c r="CB19" i="1"/>
  <c r="CE19" i="1" s="1"/>
  <c r="CB18" i="1"/>
  <c r="CE18" i="1" s="1"/>
  <c r="CB17" i="1"/>
  <c r="CE17" i="1" s="1"/>
  <c r="CB16" i="1"/>
  <c r="CE16" i="1" s="1"/>
  <c r="CB24" i="1"/>
  <c r="CE24" i="1" s="1"/>
  <c r="CB26" i="1"/>
  <c r="CE26" i="1" s="1"/>
  <c r="CB25" i="1"/>
  <c r="CE25" i="1" s="1"/>
  <c r="CB23" i="1"/>
  <c r="CE23" i="1" s="1"/>
  <c r="CM64" i="1"/>
  <c r="CM63" i="1"/>
  <c r="CM62" i="1"/>
  <c r="CM61" i="1"/>
  <c r="CM60" i="1"/>
  <c r="CM59" i="1"/>
  <c r="CM57" i="1"/>
  <c r="CM58" i="1"/>
  <c r="CM56" i="1"/>
  <c r="CM55" i="1"/>
  <c r="CM54" i="1"/>
  <c r="CM51" i="1"/>
  <c r="CM50" i="1"/>
  <c r="CM49" i="1"/>
  <c r="CM48" i="1"/>
  <c r="CM53" i="1"/>
  <c r="CM52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2" i="1"/>
  <c r="CM31" i="1"/>
  <c r="CM30" i="1"/>
  <c r="CM29" i="1"/>
  <c r="CM28" i="1"/>
  <c r="CM27" i="1"/>
  <c r="CM26" i="1"/>
  <c r="CM25" i="1"/>
  <c r="CM24" i="1"/>
  <c r="CM23" i="1"/>
  <c r="CM35" i="1"/>
  <c r="CM34" i="1"/>
  <c r="CM33" i="1"/>
  <c r="CM22" i="1"/>
  <c r="CM21" i="1"/>
  <c r="CM20" i="1"/>
  <c r="CM19" i="1"/>
  <c r="CM18" i="1"/>
  <c r="DU64" i="1"/>
  <c r="DU63" i="1"/>
  <c r="DU62" i="1"/>
  <c r="DU60" i="1"/>
  <c r="DU59" i="1"/>
  <c r="DU58" i="1"/>
  <c r="DU61" i="1"/>
  <c r="DU55" i="1"/>
  <c r="DU54" i="1"/>
  <c r="DU53" i="1"/>
  <c r="DU57" i="1"/>
  <c r="DU56" i="1"/>
  <c r="DU52" i="1"/>
  <c r="DU51" i="1"/>
  <c r="DU50" i="1"/>
  <c r="DU46" i="1"/>
  <c r="DU45" i="1"/>
  <c r="DU44" i="1"/>
  <c r="DU43" i="1"/>
  <c r="DU42" i="1"/>
  <c r="DU49" i="1"/>
  <c r="DU48" i="1"/>
  <c r="DU47" i="1"/>
  <c r="DU41" i="1"/>
  <c r="DU40" i="1"/>
  <c r="DU39" i="1"/>
  <c r="DU38" i="1"/>
  <c r="DU37" i="1"/>
  <c r="DU36" i="1"/>
  <c r="DU34" i="1"/>
  <c r="DU33" i="1"/>
  <c r="DU32" i="1"/>
  <c r="DU31" i="1"/>
  <c r="DU30" i="1"/>
  <c r="DU29" i="1"/>
  <c r="DU35" i="1"/>
  <c r="DU15" i="1"/>
  <c r="DU25" i="1"/>
  <c r="DU23" i="1"/>
  <c r="DU28" i="1"/>
  <c r="DU27" i="1"/>
  <c r="DU26" i="1"/>
  <c r="DU24" i="1"/>
  <c r="DU22" i="1"/>
  <c r="DU21" i="1"/>
  <c r="DU20" i="1"/>
  <c r="DU19" i="1"/>
  <c r="DU18" i="1"/>
  <c r="X8" i="1"/>
  <c r="AF8" i="1"/>
  <c r="AH8" i="1" s="1"/>
  <c r="AM8" i="1" s="1"/>
  <c r="BL8" i="1"/>
  <c r="BP8" i="1"/>
  <c r="BS8" i="1" s="1"/>
  <c r="CB8" i="1"/>
  <c r="CE8" i="1" s="1"/>
  <c r="CN8" i="1"/>
  <c r="CO8" i="1" s="1"/>
  <c r="DT8" i="1"/>
  <c r="AE9" i="1"/>
  <c r="BO9" i="1"/>
  <c r="BR9" i="1" s="1"/>
  <c r="CA9" i="1"/>
  <c r="CM9" i="1"/>
  <c r="DW9" i="1"/>
  <c r="Z10" i="1"/>
  <c r="AD10" i="1"/>
  <c r="BN10" i="1"/>
  <c r="BZ10" i="1"/>
  <c r="CD10" i="1"/>
  <c r="CG10" i="1" s="1"/>
  <c r="CH10" i="1"/>
  <c r="DJ10" i="1"/>
  <c r="DV10" i="1"/>
  <c r="Y11" i="1"/>
  <c r="AB11" i="1" s="1"/>
  <c r="AG11" i="1"/>
  <c r="BM11" i="1"/>
  <c r="BQ11" i="1"/>
  <c r="BT11" i="1" s="1"/>
  <c r="BU11" i="1"/>
  <c r="BY11" i="1"/>
  <c r="CC11" i="1"/>
  <c r="CF11" i="1" s="1"/>
  <c r="DU11" i="1"/>
  <c r="X12" i="1"/>
  <c r="BL12" i="1"/>
  <c r="BP12" i="1"/>
  <c r="BS12" i="1" s="1"/>
  <c r="CB12" i="1"/>
  <c r="CE12" i="1" s="1"/>
  <c r="CN12" i="1"/>
  <c r="CO12" i="1" s="1"/>
  <c r="DT12" i="1"/>
  <c r="AE13" i="1"/>
  <c r="BO13" i="1"/>
  <c r="BR13" i="1" s="1"/>
  <c r="CA13" i="1"/>
  <c r="CM13" i="1"/>
  <c r="DV13" i="1"/>
  <c r="AG14" i="1"/>
  <c r="BM14" i="1"/>
  <c r="CC14" i="1"/>
  <c r="CF14" i="1" s="1"/>
  <c r="CN14" i="1"/>
  <c r="CO14" i="1" s="1"/>
  <c r="DT14" i="1"/>
  <c r="Z15" i="1"/>
  <c r="AC15" i="1" s="1"/>
  <c r="AE15" i="1"/>
  <c r="BP15" i="1"/>
  <c r="BS15" i="1" s="1"/>
  <c r="CA15" i="1"/>
  <c r="DW15" i="1"/>
  <c r="BN16" i="1"/>
  <c r="BY16" i="1"/>
  <c r="CD16" i="1"/>
  <c r="CG16" i="1" s="1"/>
  <c r="DJ16" i="1"/>
  <c r="DU16" i="1"/>
  <c r="AG17" i="1"/>
  <c r="AF17" i="1" s="1"/>
  <c r="BM17" i="1"/>
  <c r="CC17" i="1"/>
  <c r="CF17" i="1" s="1"/>
  <c r="CH17" i="1"/>
  <c r="CM17" i="1"/>
  <c r="Z18" i="1"/>
  <c r="AG18" i="1"/>
  <c r="AC10" i="1" l="1"/>
  <c r="AN7" i="5"/>
  <c r="AN8" i="5"/>
  <c r="AN6" i="5"/>
  <c r="AP6" i="5" s="1"/>
  <c r="AP7" i="5"/>
  <c r="AO6" i="5"/>
  <c r="AQ6" i="5" s="1"/>
  <c r="AO7" i="5"/>
  <c r="AQ7" i="5" s="1"/>
  <c r="AP8" i="5"/>
  <c r="AO8" i="5"/>
  <c r="AQ8" i="5" s="1"/>
  <c r="AC14" i="1"/>
  <c r="AC13" i="1"/>
  <c r="AB14" i="1"/>
  <c r="DL8" i="1"/>
  <c r="DM8" i="1" s="1"/>
  <c r="AB9" i="1"/>
  <c r="AI8" i="1"/>
  <c r="AC19" i="1"/>
  <c r="AI17" i="1"/>
  <c r="AH17" i="1"/>
  <c r="DL17" i="1"/>
  <c r="DM17" i="1" s="1"/>
  <c r="DR14" i="1"/>
  <c r="DS14" i="1"/>
  <c r="DQ14" i="1"/>
  <c r="DP14" i="1"/>
  <c r="AF13" i="1"/>
  <c r="AH13" i="1" s="1"/>
  <c r="DL9" i="1"/>
  <c r="DM9" i="1" s="1"/>
  <c r="DL21" i="1"/>
  <c r="DM21" i="1" s="1"/>
  <c r="DL35" i="1"/>
  <c r="DM35" i="1" s="1"/>
  <c r="DL26" i="1"/>
  <c r="DM26" i="1" s="1"/>
  <c r="DL30" i="1"/>
  <c r="DM30" i="1" s="1"/>
  <c r="DL37" i="1"/>
  <c r="DM37" i="1" s="1"/>
  <c r="DL41" i="1"/>
  <c r="DM41" i="1" s="1"/>
  <c r="DL45" i="1"/>
  <c r="DM45" i="1" s="1"/>
  <c r="DL53" i="1"/>
  <c r="DM53" i="1" s="1"/>
  <c r="DL51" i="1"/>
  <c r="DM51" i="1" s="1"/>
  <c r="DL58" i="1"/>
  <c r="DM58" i="1" s="1"/>
  <c r="DL61" i="1"/>
  <c r="DM61" i="1" s="1"/>
  <c r="AF19" i="1"/>
  <c r="AI19" i="1" s="1"/>
  <c r="AF34" i="1"/>
  <c r="AI34" i="1" s="1"/>
  <c r="AF24" i="1"/>
  <c r="AH24" i="1" s="1"/>
  <c r="AO24" i="1" s="1"/>
  <c r="AF28" i="1"/>
  <c r="AI28" i="1" s="1"/>
  <c r="AF32" i="1"/>
  <c r="AH32" i="1" s="1"/>
  <c r="AF39" i="1"/>
  <c r="AI39" i="1" s="1"/>
  <c r="AF43" i="1"/>
  <c r="AH43" i="1" s="1"/>
  <c r="AF47" i="1"/>
  <c r="AH47" i="1" s="1"/>
  <c r="AF49" i="1"/>
  <c r="AH49" i="1" s="1"/>
  <c r="AF55" i="1"/>
  <c r="AI55" i="1" s="1"/>
  <c r="AF59" i="1"/>
  <c r="AH59" i="1" s="1"/>
  <c r="AF63" i="1"/>
  <c r="AI63" i="1" s="1"/>
  <c r="AB18" i="1"/>
  <c r="AC17" i="1"/>
  <c r="DQ11" i="1"/>
  <c r="DP11" i="1"/>
  <c r="DS11" i="1"/>
  <c r="DR11" i="1"/>
  <c r="DQ15" i="1"/>
  <c r="DR15" i="1"/>
  <c r="DP15" i="1"/>
  <c r="DS15" i="1"/>
  <c r="DL11" i="1"/>
  <c r="DM11" i="1" s="1"/>
  <c r="AC24" i="1"/>
  <c r="AC25" i="1"/>
  <c r="AC30" i="1"/>
  <c r="AC34" i="1"/>
  <c r="AC38" i="1"/>
  <c r="AC42" i="1"/>
  <c r="AC46" i="1"/>
  <c r="AC50" i="1"/>
  <c r="AC54" i="1"/>
  <c r="AC58" i="1"/>
  <c r="AC62" i="1"/>
  <c r="AB16" i="1"/>
  <c r="DS13" i="1"/>
  <c r="DQ13" i="1"/>
  <c r="DP13" i="1"/>
  <c r="DR13" i="1"/>
  <c r="DS9" i="1"/>
  <c r="DR9" i="1"/>
  <c r="DQ9" i="1"/>
  <c r="DP9" i="1"/>
  <c r="DS23" i="1"/>
  <c r="DQ23" i="1"/>
  <c r="DP23" i="1"/>
  <c r="DR23" i="1"/>
  <c r="DP18" i="1"/>
  <c r="DS18" i="1"/>
  <c r="DQ18" i="1"/>
  <c r="DR18" i="1"/>
  <c r="DP22" i="1"/>
  <c r="DS22" i="1"/>
  <c r="DR22" i="1"/>
  <c r="DQ22" i="1"/>
  <c r="DS28" i="1"/>
  <c r="DR28" i="1"/>
  <c r="DP28" i="1"/>
  <c r="DQ28" i="1"/>
  <c r="DR32" i="1"/>
  <c r="DS32" i="1"/>
  <c r="DQ32" i="1"/>
  <c r="DP32" i="1"/>
  <c r="DR36" i="1"/>
  <c r="DQ36" i="1"/>
  <c r="DS36" i="1"/>
  <c r="DP36" i="1"/>
  <c r="DR38" i="1"/>
  <c r="DQ38" i="1"/>
  <c r="DP38" i="1"/>
  <c r="DS38" i="1"/>
  <c r="DR42" i="1"/>
  <c r="DQ42" i="1"/>
  <c r="DS42" i="1"/>
  <c r="DP42" i="1"/>
  <c r="DS48" i="1"/>
  <c r="DR48" i="1"/>
  <c r="DQ48" i="1"/>
  <c r="DP48" i="1"/>
  <c r="DR52" i="1"/>
  <c r="DQ52" i="1"/>
  <c r="DP52" i="1"/>
  <c r="DS52" i="1"/>
  <c r="DR55" i="1"/>
  <c r="DQ55" i="1"/>
  <c r="DP55" i="1"/>
  <c r="DS55" i="1"/>
  <c r="DR60" i="1"/>
  <c r="DQ60" i="1"/>
  <c r="DP60" i="1"/>
  <c r="DS60" i="1"/>
  <c r="DS64" i="1"/>
  <c r="DR64" i="1"/>
  <c r="DQ64" i="1"/>
  <c r="DP64" i="1"/>
  <c r="AB20" i="1"/>
  <c r="AB26" i="1"/>
  <c r="AB27" i="1"/>
  <c r="AB30" i="1"/>
  <c r="AB36" i="1"/>
  <c r="AB37" i="1"/>
  <c r="AB43" i="1"/>
  <c r="AB47" i="1"/>
  <c r="AB53" i="1"/>
  <c r="AB55" i="1"/>
  <c r="AB59" i="1"/>
  <c r="AB63" i="1"/>
  <c r="AF15" i="1"/>
  <c r="AH15" i="1" s="1"/>
  <c r="DL13" i="1"/>
  <c r="DM13" i="1" s="1"/>
  <c r="DL18" i="1"/>
  <c r="DM18" i="1" s="1"/>
  <c r="DL22" i="1"/>
  <c r="DM22" i="1" s="1"/>
  <c r="DL23" i="1"/>
  <c r="DM23" i="1" s="1"/>
  <c r="DL27" i="1"/>
  <c r="DM27" i="1"/>
  <c r="DL31" i="1"/>
  <c r="DM31" i="1" s="1"/>
  <c r="DL38" i="1"/>
  <c r="DM38" i="1" s="1"/>
  <c r="DL42" i="1"/>
  <c r="DM42" i="1" s="1"/>
  <c r="DL46" i="1"/>
  <c r="DM46" i="1" s="1"/>
  <c r="DL48" i="1"/>
  <c r="DM48" i="1" s="1"/>
  <c r="DL54" i="1"/>
  <c r="DM54" i="1" s="1"/>
  <c r="DL57" i="1"/>
  <c r="DM57" i="1" s="1"/>
  <c r="DL62" i="1"/>
  <c r="DM62" i="1" s="1"/>
  <c r="AF20" i="1"/>
  <c r="AI20" i="1" s="1"/>
  <c r="AF35" i="1"/>
  <c r="AH35" i="1" s="1"/>
  <c r="AF25" i="1"/>
  <c r="AH25" i="1" s="1"/>
  <c r="AF29" i="1"/>
  <c r="AI29" i="1" s="1"/>
  <c r="AF33" i="1"/>
  <c r="AH33" i="1" s="1"/>
  <c r="AF40" i="1"/>
  <c r="AI40" i="1" s="1"/>
  <c r="AF44" i="1"/>
  <c r="AH44" i="1" s="1"/>
  <c r="AF53" i="1"/>
  <c r="AH53" i="1" s="1"/>
  <c r="AF50" i="1"/>
  <c r="AH50" i="1" s="1"/>
  <c r="AF56" i="1"/>
  <c r="AI56" i="1" s="1"/>
  <c r="AF60" i="1"/>
  <c r="AH60" i="1" s="1"/>
  <c r="AF64" i="1"/>
  <c r="AI64" i="1" s="1"/>
  <c r="DL14" i="1"/>
  <c r="DM14" i="1" s="1"/>
  <c r="AF16" i="1"/>
  <c r="AI16" i="1" s="1"/>
  <c r="DR10" i="1"/>
  <c r="DQ10" i="1"/>
  <c r="DP10" i="1"/>
  <c r="DS10" i="1"/>
  <c r="AC8" i="1"/>
  <c r="AC26" i="1"/>
  <c r="AC27" i="1"/>
  <c r="AC31" i="1"/>
  <c r="AC35" i="1"/>
  <c r="AC39" i="1"/>
  <c r="AC43" i="1"/>
  <c r="AC47" i="1"/>
  <c r="AC51" i="1"/>
  <c r="AC55" i="1"/>
  <c r="AC59" i="1"/>
  <c r="AC63" i="1"/>
  <c r="DL15" i="1"/>
  <c r="DM15" i="1" s="1"/>
  <c r="AB8" i="1"/>
  <c r="DS25" i="1"/>
  <c r="DQ25" i="1"/>
  <c r="DP25" i="1"/>
  <c r="DR25" i="1"/>
  <c r="DP19" i="1"/>
  <c r="DS19" i="1"/>
  <c r="DQ19" i="1"/>
  <c r="DR19" i="1"/>
  <c r="DS24" i="1"/>
  <c r="DR24" i="1"/>
  <c r="DQ24" i="1"/>
  <c r="DP24" i="1"/>
  <c r="DS29" i="1"/>
  <c r="DR29" i="1"/>
  <c r="DQ29" i="1"/>
  <c r="DP29" i="1"/>
  <c r="DR33" i="1"/>
  <c r="DQ33" i="1"/>
  <c r="DP33" i="1"/>
  <c r="DS33" i="1"/>
  <c r="DR37" i="1"/>
  <c r="DQ37" i="1"/>
  <c r="DP37" i="1"/>
  <c r="DS37" i="1"/>
  <c r="DR39" i="1"/>
  <c r="DQ39" i="1"/>
  <c r="DP39" i="1"/>
  <c r="DS39" i="1"/>
  <c r="DR45" i="1"/>
  <c r="DQ45" i="1"/>
  <c r="DP45" i="1"/>
  <c r="DS45" i="1"/>
  <c r="DS49" i="1"/>
  <c r="DR49" i="1"/>
  <c r="DP49" i="1"/>
  <c r="DQ49" i="1"/>
  <c r="DR54" i="1"/>
  <c r="DQ54" i="1"/>
  <c r="DS54" i="1"/>
  <c r="DP54" i="1"/>
  <c r="DR56" i="1"/>
  <c r="DS56" i="1"/>
  <c r="DQ56" i="1"/>
  <c r="DP56" i="1"/>
  <c r="DS61" i="1"/>
  <c r="DR61" i="1"/>
  <c r="DP61" i="1"/>
  <c r="DQ61" i="1"/>
  <c r="AB21" i="1"/>
  <c r="AB23" i="1"/>
  <c r="AB28" i="1"/>
  <c r="AB31" i="1"/>
  <c r="AB33" i="1"/>
  <c r="AB38" i="1"/>
  <c r="AB44" i="1"/>
  <c r="AB48" i="1"/>
  <c r="AB51" i="1"/>
  <c r="AB56" i="1"/>
  <c r="AB60" i="1"/>
  <c r="AB64" i="1"/>
  <c r="DP12" i="1"/>
  <c r="DS12" i="1"/>
  <c r="DR12" i="1"/>
  <c r="DQ12" i="1"/>
  <c r="DP8" i="1"/>
  <c r="DS8" i="1"/>
  <c r="DR8" i="1"/>
  <c r="DQ8" i="1"/>
  <c r="DL19" i="1"/>
  <c r="DM19" i="1" s="1"/>
  <c r="DL33" i="1"/>
  <c r="DM33" i="1" s="1"/>
  <c r="DL24" i="1"/>
  <c r="DM24" i="1" s="1"/>
  <c r="DL28" i="1"/>
  <c r="DM28" i="1" s="1"/>
  <c r="DL32" i="1"/>
  <c r="DM32" i="1" s="1"/>
  <c r="DL39" i="1"/>
  <c r="DM39" i="1" s="1"/>
  <c r="DL43" i="1"/>
  <c r="DM43" i="1" s="1"/>
  <c r="DL47" i="1"/>
  <c r="DM47" i="1" s="1"/>
  <c r="DL49" i="1"/>
  <c r="DM49" i="1" s="1"/>
  <c r="DL55" i="1"/>
  <c r="DM55" i="1" s="1"/>
  <c r="DL59" i="1"/>
  <c r="DM59" i="1" s="1"/>
  <c r="DL63" i="1"/>
  <c r="DM63" i="1" s="1"/>
  <c r="AF21" i="1"/>
  <c r="AI21" i="1" s="1"/>
  <c r="AF36" i="1"/>
  <c r="AI36" i="1" s="1"/>
  <c r="AF26" i="1"/>
  <c r="AH26" i="1" s="1"/>
  <c r="AO26" i="1" s="1"/>
  <c r="AF30" i="1"/>
  <c r="AI30" i="1" s="1"/>
  <c r="AF37" i="1"/>
  <c r="AH37" i="1" s="1"/>
  <c r="AF41" i="1"/>
  <c r="AI41" i="1" s="1"/>
  <c r="AF45" i="1"/>
  <c r="AH45" i="1" s="1"/>
  <c r="AF54" i="1"/>
  <c r="AI54" i="1" s="1"/>
  <c r="AF51" i="1"/>
  <c r="AH51" i="1" s="1"/>
  <c r="AF57" i="1"/>
  <c r="AH57" i="1" s="1"/>
  <c r="AN57" i="1" s="1"/>
  <c r="AF61" i="1"/>
  <c r="AH61" i="1" s="1"/>
  <c r="AF12" i="1"/>
  <c r="AH12" i="1" s="1"/>
  <c r="AC16" i="1"/>
  <c r="AC12" i="1"/>
  <c r="AC21" i="1"/>
  <c r="AC28" i="1"/>
  <c r="AC32" i="1"/>
  <c r="AC36" i="1"/>
  <c r="AC40" i="1"/>
  <c r="AC44" i="1"/>
  <c r="AC48" i="1"/>
  <c r="AC52" i="1"/>
  <c r="AC56" i="1"/>
  <c r="AC60" i="1"/>
  <c r="AC64" i="1"/>
  <c r="AF10" i="1"/>
  <c r="AH10" i="1" s="1"/>
  <c r="DP16" i="1"/>
  <c r="DS16" i="1"/>
  <c r="DR16" i="1"/>
  <c r="DQ16" i="1"/>
  <c r="DP20" i="1"/>
  <c r="DS20" i="1"/>
  <c r="DR20" i="1"/>
  <c r="DQ20" i="1"/>
  <c r="DS26" i="1"/>
  <c r="DR26" i="1"/>
  <c r="DP26" i="1"/>
  <c r="DQ26" i="1"/>
  <c r="DS30" i="1"/>
  <c r="DR30" i="1"/>
  <c r="DQ30" i="1"/>
  <c r="DP30" i="1"/>
  <c r="DR34" i="1"/>
  <c r="DP34" i="1"/>
  <c r="DS34" i="1"/>
  <c r="DQ34" i="1"/>
  <c r="DR43" i="1"/>
  <c r="DQ43" i="1"/>
  <c r="DS43" i="1"/>
  <c r="DP43" i="1"/>
  <c r="DR40" i="1"/>
  <c r="DQ40" i="1"/>
  <c r="DP40" i="1"/>
  <c r="DS40" i="1"/>
  <c r="DR46" i="1"/>
  <c r="DQ46" i="1"/>
  <c r="DP46" i="1"/>
  <c r="DS46" i="1"/>
  <c r="DS50" i="1"/>
  <c r="DR50" i="1"/>
  <c r="DQ50" i="1"/>
  <c r="DP50" i="1"/>
  <c r="DR53" i="1"/>
  <c r="DQ53" i="1"/>
  <c r="DS53" i="1"/>
  <c r="DP53" i="1"/>
  <c r="DR58" i="1"/>
  <c r="DQ58" i="1"/>
  <c r="DP58" i="1"/>
  <c r="DS58" i="1"/>
  <c r="DS62" i="1"/>
  <c r="DR62" i="1"/>
  <c r="DQ62" i="1"/>
  <c r="DP62" i="1"/>
  <c r="AB22" i="1"/>
  <c r="AB25" i="1"/>
  <c r="AB29" i="1"/>
  <c r="AB32" i="1"/>
  <c r="AB41" i="1"/>
  <c r="AB39" i="1"/>
  <c r="AB45" i="1"/>
  <c r="AB49" i="1"/>
  <c r="AB52" i="1"/>
  <c r="AB57" i="1"/>
  <c r="AB61" i="1"/>
  <c r="DL16" i="1"/>
  <c r="DM16" i="1" s="1"/>
  <c r="AC18" i="1"/>
  <c r="AF9" i="1"/>
  <c r="AI9" i="1" s="1"/>
  <c r="AL8" i="1"/>
  <c r="AP8" i="1" s="1"/>
  <c r="AO8" i="1"/>
  <c r="DL20" i="1"/>
  <c r="DM20" i="1" s="1"/>
  <c r="DL34" i="1"/>
  <c r="DM34" i="1" s="1"/>
  <c r="DL25" i="1"/>
  <c r="DM25" i="1" s="1"/>
  <c r="DL29" i="1"/>
  <c r="DM29" i="1" s="1"/>
  <c r="DL36" i="1"/>
  <c r="DM36" i="1" s="1"/>
  <c r="DL40" i="1"/>
  <c r="DM40" i="1" s="1"/>
  <c r="DL44" i="1"/>
  <c r="DM44" i="1" s="1"/>
  <c r="DL52" i="1"/>
  <c r="DM52" i="1" s="1"/>
  <c r="DL50" i="1"/>
  <c r="DM50" i="1" s="1"/>
  <c r="DL56" i="1"/>
  <c r="DM56" i="1" s="1"/>
  <c r="DL60" i="1"/>
  <c r="DM60" i="1" s="1"/>
  <c r="DL64" i="1"/>
  <c r="DM64" i="1" s="1"/>
  <c r="AF18" i="1"/>
  <c r="AI18" i="1" s="1"/>
  <c r="AF22" i="1"/>
  <c r="AH22" i="1" s="1"/>
  <c r="AF23" i="1"/>
  <c r="AH23" i="1" s="1"/>
  <c r="AF27" i="1"/>
  <c r="AI27" i="1" s="1"/>
  <c r="AF31" i="1"/>
  <c r="AH31" i="1" s="1"/>
  <c r="AF38" i="1"/>
  <c r="AI38" i="1" s="1"/>
  <c r="AF42" i="1"/>
  <c r="AH42" i="1" s="1"/>
  <c r="AF46" i="1"/>
  <c r="AH46" i="1" s="1"/>
  <c r="AF48" i="1"/>
  <c r="AH48" i="1" s="1"/>
  <c r="AF52" i="1"/>
  <c r="AI52" i="1" s="1"/>
  <c r="AF58" i="1"/>
  <c r="AH58" i="1" s="1"/>
  <c r="AF62" i="1"/>
  <c r="AI62" i="1" s="1"/>
  <c r="AC20" i="1"/>
  <c r="DL12" i="1"/>
  <c r="DM12" i="1" s="1"/>
  <c r="AB17" i="1"/>
  <c r="AF14" i="1"/>
  <c r="AH14" i="1" s="1"/>
  <c r="AF11" i="1"/>
  <c r="AI11" i="1" s="1"/>
  <c r="AC22" i="1"/>
  <c r="AC23" i="1"/>
  <c r="AC29" i="1"/>
  <c r="AC33" i="1"/>
  <c r="AC37" i="1"/>
  <c r="AC41" i="1"/>
  <c r="AC45" i="1"/>
  <c r="AC49" i="1"/>
  <c r="AC53" i="1"/>
  <c r="AC57" i="1"/>
  <c r="AC61" i="1"/>
  <c r="AB12" i="1"/>
  <c r="DL10" i="1"/>
  <c r="DM10" i="1" s="1"/>
  <c r="DP17" i="1"/>
  <c r="DS17" i="1"/>
  <c r="DR17" i="1"/>
  <c r="DQ17" i="1"/>
  <c r="DP21" i="1"/>
  <c r="DS21" i="1"/>
  <c r="DR21" i="1"/>
  <c r="DQ21" i="1"/>
  <c r="DS27" i="1"/>
  <c r="DR27" i="1"/>
  <c r="DP27" i="1"/>
  <c r="DQ27" i="1"/>
  <c r="DS31" i="1"/>
  <c r="DR31" i="1"/>
  <c r="DQ31" i="1"/>
  <c r="DP31" i="1"/>
  <c r="DR35" i="1"/>
  <c r="DS35" i="1"/>
  <c r="DQ35" i="1"/>
  <c r="DP35" i="1"/>
  <c r="DR44" i="1"/>
  <c r="DQ44" i="1"/>
  <c r="DP44" i="1"/>
  <c r="DS44" i="1"/>
  <c r="DR41" i="1"/>
  <c r="DP41" i="1"/>
  <c r="DS41" i="1"/>
  <c r="DQ41" i="1"/>
  <c r="DS47" i="1"/>
  <c r="DR47" i="1"/>
  <c r="DQ47" i="1"/>
  <c r="DP47" i="1"/>
  <c r="DR51" i="1"/>
  <c r="DS51" i="1"/>
  <c r="DQ51" i="1"/>
  <c r="DP51" i="1"/>
  <c r="DR57" i="1"/>
  <c r="DS57" i="1"/>
  <c r="DQ57" i="1"/>
  <c r="DP57" i="1"/>
  <c r="DR59" i="1"/>
  <c r="DQ59" i="1"/>
  <c r="DP59" i="1"/>
  <c r="DS59" i="1"/>
  <c r="DS63" i="1"/>
  <c r="DR63" i="1"/>
  <c r="DQ63" i="1"/>
  <c r="DP63" i="1"/>
  <c r="AB19" i="1"/>
  <c r="AB24" i="1"/>
  <c r="AB34" i="1"/>
  <c r="AB35" i="1"/>
  <c r="AB42" i="1"/>
  <c r="AB40" i="1"/>
  <c r="AB46" i="1"/>
  <c r="AB50" i="1"/>
  <c r="AB54" i="1"/>
  <c r="AB58" i="1"/>
  <c r="AB62" i="1"/>
  <c r="AN8" i="1"/>
  <c r="AR8" i="1" s="1"/>
  <c r="AH11" i="1" l="1"/>
  <c r="AN11" i="1" s="1"/>
  <c r="AI44" i="1"/>
  <c r="AI45" i="1"/>
  <c r="AI35" i="1"/>
  <c r="AI26" i="1"/>
  <c r="AI37" i="1"/>
  <c r="AI23" i="1"/>
  <c r="AI12" i="1"/>
  <c r="AH16" i="1"/>
  <c r="AL16" i="1" s="1"/>
  <c r="AP16" i="1" s="1"/>
  <c r="AI60" i="1"/>
  <c r="AH28" i="1"/>
  <c r="AO28" i="1" s="1"/>
  <c r="AI46" i="1"/>
  <c r="AI47" i="1"/>
  <c r="AH21" i="1"/>
  <c r="AI33" i="1"/>
  <c r="AH55" i="1"/>
  <c r="AM55" i="1" s="1"/>
  <c r="AI14" i="1"/>
  <c r="AI57" i="1"/>
  <c r="AI59" i="1"/>
  <c r="AH19" i="1"/>
  <c r="AM19" i="1" s="1"/>
  <c r="AI24" i="1"/>
  <c r="AN12" i="1"/>
  <c r="AO12" i="1"/>
  <c r="AO33" i="1"/>
  <c r="AM33" i="1"/>
  <c r="AO37" i="1"/>
  <c r="AN37" i="1"/>
  <c r="AL48" i="1"/>
  <c r="AP48" i="1" s="1"/>
  <c r="AO48" i="1"/>
  <c r="AH52" i="1"/>
  <c r="AI42" i="1"/>
  <c r="AI31" i="1"/>
  <c r="AS8" i="1"/>
  <c r="AI10" i="1"/>
  <c r="AI61" i="1"/>
  <c r="AI25" i="1"/>
  <c r="AH20" i="1"/>
  <c r="AI48" i="1"/>
  <c r="AH29" i="1"/>
  <c r="AO29" i="1" s="1"/>
  <c r="AI43" i="1"/>
  <c r="AH27" i="1"/>
  <c r="AO27" i="1" s="1"/>
  <c r="AI51" i="1"/>
  <c r="AI53" i="1"/>
  <c r="AM22" i="1"/>
  <c r="AN22" i="1"/>
  <c r="AO22" i="1"/>
  <c r="AL22" i="1"/>
  <c r="AP22" i="1" s="1"/>
  <c r="AM51" i="1"/>
  <c r="AO51" i="1"/>
  <c r="AN51" i="1"/>
  <c r="AL51" i="1"/>
  <c r="AP51" i="1" s="1"/>
  <c r="AO45" i="1"/>
  <c r="AM45" i="1"/>
  <c r="AN45" i="1"/>
  <c r="AL45" i="1"/>
  <c r="AP45" i="1" s="1"/>
  <c r="AL53" i="1"/>
  <c r="AP53" i="1" s="1"/>
  <c r="AM53" i="1"/>
  <c r="AN53" i="1"/>
  <c r="AO53" i="1"/>
  <c r="AO59" i="1"/>
  <c r="AM59" i="1"/>
  <c r="AN59" i="1"/>
  <c r="AL59" i="1"/>
  <c r="AP59" i="1" s="1"/>
  <c r="AM49" i="1"/>
  <c r="AO49" i="1"/>
  <c r="AN49" i="1"/>
  <c r="AL49" i="1"/>
  <c r="AP49" i="1" s="1"/>
  <c r="AM13" i="1"/>
  <c r="AO13" i="1"/>
  <c r="AN13" i="1"/>
  <c r="AL13" i="1"/>
  <c r="AP13" i="1" s="1"/>
  <c r="AL46" i="1"/>
  <c r="AP46" i="1" s="1"/>
  <c r="AO46" i="1"/>
  <c r="AM46" i="1"/>
  <c r="AN46" i="1"/>
  <c r="AM31" i="1"/>
  <c r="AO31" i="1"/>
  <c r="AN31" i="1"/>
  <c r="AL31" i="1"/>
  <c r="AP31" i="1" s="1"/>
  <c r="AO60" i="1"/>
  <c r="AM60" i="1"/>
  <c r="AN60" i="1"/>
  <c r="AL60" i="1"/>
  <c r="AP60" i="1" s="1"/>
  <c r="AO25" i="1"/>
  <c r="AL25" i="1"/>
  <c r="AP25" i="1" s="1"/>
  <c r="AM25" i="1"/>
  <c r="AN25" i="1"/>
  <c r="AO23" i="1"/>
  <c r="AL23" i="1"/>
  <c r="AP23" i="1" s="1"/>
  <c r="AM23" i="1"/>
  <c r="AN23" i="1"/>
  <c r="AN44" i="1"/>
  <c r="AO44" i="1"/>
  <c r="AM44" i="1"/>
  <c r="AL44" i="1"/>
  <c r="AP44" i="1" s="1"/>
  <c r="AM15" i="1"/>
  <c r="AN15" i="1"/>
  <c r="AL15" i="1"/>
  <c r="AP15" i="1" s="1"/>
  <c r="AO15" i="1"/>
  <c r="AL47" i="1"/>
  <c r="AP47" i="1" s="1"/>
  <c r="AO47" i="1"/>
  <c r="AM47" i="1"/>
  <c r="AN47" i="1"/>
  <c r="AM32" i="1"/>
  <c r="AO32" i="1"/>
  <c r="AN32" i="1"/>
  <c r="AL32" i="1"/>
  <c r="AP32" i="1" s="1"/>
  <c r="AO58" i="1"/>
  <c r="AM58" i="1"/>
  <c r="AL58" i="1"/>
  <c r="AP58" i="1" s="1"/>
  <c r="AN58" i="1"/>
  <c r="AM42" i="1"/>
  <c r="AN42" i="1"/>
  <c r="AL42" i="1"/>
  <c r="AP42" i="1" s="1"/>
  <c r="AO42" i="1"/>
  <c r="AO10" i="1"/>
  <c r="AM10" i="1"/>
  <c r="AN10" i="1"/>
  <c r="AL10" i="1"/>
  <c r="AP10" i="1" s="1"/>
  <c r="AO61" i="1"/>
  <c r="AM61" i="1"/>
  <c r="AN61" i="1"/>
  <c r="AL61" i="1"/>
  <c r="AP61" i="1" s="1"/>
  <c r="AM50" i="1"/>
  <c r="AO50" i="1"/>
  <c r="AN50" i="1"/>
  <c r="AL50" i="1"/>
  <c r="AP50" i="1" s="1"/>
  <c r="AO43" i="1"/>
  <c r="AM43" i="1"/>
  <c r="AL43" i="1"/>
  <c r="AP43" i="1" s="1"/>
  <c r="AN43" i="1"/>
  <c r="AH62" i="1"/>
  <c r="AH38" i="1"/>
  <c r="AH9" i="1"/>
  <c r="AH41" i="1"/>
  <c r="AH30" i="1"/>
  <c r="AH36" i="1"/>
  <c r="AM21" i="1"/>
  <c r="AH64" i="1"/>
  <c r="AH56" i="1"/>
  <c r="AH40" i="1"/>
  <c r="AM29" i="1"/>
  <c r="AM20" i="1"/>
  <c r="AI15" i="1"/>
  <c r="AH63" i="1"/>
  <c r="AH39" i="1"/>
  <c r="AM28" i="1"/>
  <c r="AH34" i="1"/>
  <c r="AM11" i="1"/>
  <c r="AO11" i="1"/>
  <c r="AO14" i="1"/>
  <c r="AL14" i="1"/>
  <c r="AP14" i="1" s="1"/>
  <c r="AN52" i="1"/>
  <c r="AL52" i="1"/>
  <c r="AP52" i="1" s="1"/>
  <c r="AL27" i="1"/>
  <c r="AP27" i="1" s="1"/>
  <c r="AL57" i="1"/>
  <c r="AP57" i="1" s="1"/>
  <c r="AM26" i="1"/>
  <c r="AL21" i="1"/>
  <c r="AP21" i="1" s="1"/>
  <c r="AN16" i="1"/>
  <c r="AO35" i="1"/>
  <c r="AL35" i="1"/>
  <c r="AP35" i="1" s="1"/>
  <c r="AL20" i="1"/>
  <c r="AP20" i="1" s="1"/>
  <c r="AL28" i="1"/>
  <c r="AP28" i="1" s="1"/>
  <c r="AM24" i="1"/>
  <c r="AL19" i="1"/>
  <c r="AP19" i="1" s="1"/>
  <c r="AL11" i="1"/>
  <c r="AP11" i="1" s="1"/>
  <c r="AN48" i="1"/>
  <c r="AI22" i="1"/>
  <c r="AM12" i="1"/>
  <c r="AM57" i="1"/>
  <c r="AO57" i="1"/>
  <c r="AH54" i="1"/>
  <c r="AL37" i="1"/>
  <c r="AP37" i="1" s="1"/>
  <c r="AN26" i="1"/>
  <c r="AO16" i="1"/>
  <c r="AM16" i="1"/>
  <c r="AI50" i="1"/>
  <c r="AN33" i="1"/>
  <c r="AL33" i="1"/>
  <c r="AP33" i="1" s="1"/>
  <c r="AO20" i="1"/>
  <c r="AN55" i="1"/>
  <c r="AI49" i="1"/>
  <c r="AI32" i="1"/>
  <c r="AN24" i="1"/>
  <c r="AO19" i="1"/>
  <c r="AI13" i="1"/>
  <c r="AO17" i="1"/>
  <c r="AL17" i="1"/>
  <c r="AP17" i="1" s="1"/>
  <c r="AM17" i="1"/>
  <c r="AN17" i="1"/>
  <c r="AQ8" i="1"/>
  <c r="AN14" i="1"/>
  <c r="AM14" i="1"/>
  <c r="AI58" i="1"/>
  <c r="AM52" i="1"/>
  <c r="AO52" i="1"/>
  <c r="AM48" i="1"/>
  <c r="AH18" i="1"/>
  <c r="AL12" i="1"/>
  <c r="AP12" i="1" s="1"/>
  <c r="AM37" i="1"/>
  <c r="AL26" i="1"/>
  <c r="AP26" i="1" s="1"/>
  <c r="AO21" i="1"/>
  <c r="AN21" i="1"/>
  <c r="AR21" i="1" s="1"/>
  <c r="AN29" i="1"/>
  <c r="AN35" i="1"/>
  <c r="AM35" i="1"/>
  <c r="AN20" i="1"/>
  <c r="AO55" i="1"/>
  <c r="AN28" i="1"/>
  <c r="AL24" i="1"/>
  <c r="AP24" i="1" s="1"/>
  <c r="AN19" i="1"/>
  <c r="AS57" i="1" l="1"/>
  <c r="AQ37" i="1"/>
  <c r="AS52" i="1"/>
  <c r="AQ57" i="1"/>
  <c r="AR20" i="1"/>
  <c r="AK8" i="1"/>
  <c r="AU8" i="1" s="1"/>
  <c r="AW8" i="1" s="1"/>
  <c r="AS16" i="1"/>
  <c r="AR58" i="1"/>
  <c r="AR19" i="1"/>
  <c r="AQ16" i="1"/>
  <c r="AQ35" i="1"/>
  <c r="AQ52" i="1"/>
  <c r="AR43" i="1"/>
  <c r="AR28" i="1"/>
  <c r="AN27" i="1"/>
  <c r="AL55" i="1"/>
  <c r="AP55" i="1" s="1"/>
  <c r="AL29" i="1"/>
  <c r="AP29" i="1" s="1"/>
  <c r="AM27" i="1"/>
  <c r="AQ27" i="1" s="1"/>
  <c r="AQ48" i="1"/>
  <c r="AQ14" i="1"/>
  <c r="AR55" i="1"/>
  <c r="AQ61" i="1"/>
  <c r="AQ10" i="1"/>
  <c r="AR42" i="1"/>
  <c r="AS32" i="1"/>
  <c r="AQ60" i="1"/>
  <c r="AS31" i="1"/>
  <c r="AS13" i="1"/>
  <c r="AQ24" i="1"/>
  <c r="AQ26" i="1"/>
  <c r="AR50" i="1"/>
  <c r="AQ23" i="1"/>
  <c r="AR53" i="1"/>
  <c r="AR35" i="1"/>
  <c r="AQ17" i="1"/>
  <c r="AR24" i="1"/>
  <c r="AS20" i="1"/>
  <c r="AR48" i="1"/>
  <c r="AS14" i="1"/>
  <c r="AS28" i="1"/>
  <c r="AO40" i="1"/>
  <c r="AM40" i="1"/>
  <c r="AN40" i="1"/>
  <c r="AL40" i="1"/>
  <c r="AP40" i="1" s="1"/>
  <c r="AO64" i="1"/>
  <c r="AN64" i="1"/>
  <c r="AL64" i="1"/>
  <c r="AP64" i="1" s="1"/>
  <c r="AM64" i="1"/>
  <c r="AO36" i="1"/>
  <c r="AM36" i="1"/>
  <c r="AL36" i="1"/>
  <c r="AP36" i="1" s="1"/>
  <c r="AN36" i="1"/>
  <c r="AS37" i="1"/>
  <c r="AO9" i="1"/>
  <c r="AN9" i="1"/>
  <c r="AL9" i="1"/>
  <c r="AP9" i="1" s="1"/>
  <c r="AM9" i="1"/>
  <c r="AS27" i="1"/>
  <c r="AR61" i="1"/>
  <c r="AR47" i="1"/>
  <c r="AS15" i="1"/>
  <c r="AQ15" i="1"/>
  <c r="AQ25" i="1"/>
  <c r="AR46" i="1"/>
  <c r="AR49" i="1"/>
  <c r="AQ59" i="1"/>
  <c r="AS53" i="1"/>
  <c r="AQ45" i="1"/>
  <c r="AQ51" i="1"/>
  <c r="AS12" i="1"/>
  <c r="AS11" i="1"/>
  <c r="AQ19" i="1"/>
  <c r="AS24" i="1"/>
  <c r="AO39" i="1"/>
  <c r="AM39" i="1"/>
  <c r="AN39" i="1"/>
  <c r="AL39" i="1"/>
  <c r="AP39" i="1" s="1"/>
  <c r="AO63" i="1"/>
  <c r="AN63" i="1"/>
  <c r="AL63" i="1"/>
  <c r="AP63" i="1" s="1"/>
  <c r="AM63" i="1"/>
  <c r="AS29" i="1"/>
  <c r="AN41" i="1"/>
  <c r="AO41" i="1"/>
  <c r="AL41" i="1"/>
  <c r="AP41" i="1" s="1"/>
  <c r="AM41" i="1"/>
  <c r="AO38" i="1"/>
  <c r="AM38" i="1"/>
  <c r="AN38" i="1"/>
  <c r="AL38" i="1"/>
  <c r="AP38" i="1" s="1"/>
  <c r="AQ58" i="1"/>
  <c r="AS44" i="1"/>
  <c r="AS49" i="1"/>
  <c r="AS59" i="1"/>
  <c r="AS45" i="1"/>
  <c r="AR51" i="1"/>
  <c r="AS22" i="1"/>
  <c r="AS17" i="1"/>
  <c r="AR33" i="1"/>
  <c r="AL54" i="1"/>
  <c r="AP54" i="1" s="1"/>
  <c r="AO54" i="1"/>
  <c r="AM54" i="1"/>
  <c r="AN54" i="1"/>
  <c r="AS35" i="1"/>
  <c r="AR37" i="1"/>
  <c r="AK37" i="1" s="1"/>
  <c r="AR52" i="1"/>
  <c r="AK52" i="1" s="1"/>
  <c r="AQ11" i="1"/>
  <c r="AQ28" i="1"/>
  <c r="AS33" i="1"/>
  <c r="AQ21" i="1"/>
  <c r="AS26" i="1"/>
  <c r="AR11" i="1"/>
  <c r="AQ43" i="1"/>
  <c r="AS50" i="1"/>
  <c r="AS10" i="1"/>
  <c r="AS42" i="1"/>
  <c r="AQ42" i="1"/>
  <c r="AS58" i="1"/>
  <c r="AK58" i="1" s="1"/>
  <c r="AQ32" i="1"/>
  <c r="AQ47" i="1"/>
  <c r="AR15" i="1"/>
  <c r="AK15" i="1" s="1"/>
  <c r="AQ44" i="1"/>
  <c r="AR44" i="1"/>
  <c r="AR25" i="1"/>
  <c r="AS25" i="1"/>
  <c r="AS60" i="1"/>
  <c r="AQ31" i="1"/>
  <c r="AQ46" i="1"/>
  <c r="AQ13" i="1"/>
  <c r="AQ49" i="1"/>
  <c r="AK49" i="1" s="1"/>
  <c r="AR59" i="1"/>
  <c r="AQ53" i="1"/>
  <c r="AR45" i="1"/>
  <c r="AR22" i="1"/>
  <c r="AN18" i="1"/>
  <c r="AO18" i="1"/>
  <c r="AM18" i="1"/>
  <c r="AL18" i="1"/>
  <c r="AP18" i="1" s="1"/>
  <c r="AS55" i="1"/>
  <c r="AS21" i="1"/>
  <c r="AR14" i="1"/>
  <c r="AK14" i="1" s="1"/>
  <c r="AR17" i="1"/>
  <c r="AK17" i="1" s="1"/>
  <c r="AS19" i="1"/>
  <c r="AR26" i="1"/>
  <c r="AQ12" i="1"/>
  <c r="AR16" i="1"/>
  <c r="AR12" i="1"/>
  <c r="AN34" i="1"/>
  <c r="AO34" i="1"/>
  <c r="AL34" i="1"/>
  <c r="AP34" i="1" s="1"/>
  <c r="AM34" i="1"/>
  <c r="AQ20" i="1"/>
  <c r="AK20" i="1" s="1"/>
  <c r="AQ33" i="1"/>
  <c r="AO56" i="1"/>
  <c r="AM56" i="1"/>
  <c r="AN56" i="1"/>
  <c r="AL56" i="1"/>
  <c r="AP56" i="1" s="1"/>
  <c r="AO30" i="1"/>
  <c r="AN30" i="1"/>
  <c r="AL30" i="1"/>
  <c r="AP30" i="1" s="1"/>
  <c r="AM30" i="1"/>
  <c r="AR57" i="1"/>
  <c r="AK57" i="1" s="1"/>
  <c r="AS48" i="1"/>
  <c r="AO62" i="1"/>
  <c r="AN62" i="1"/>
  <c r="AL62" i="1"/>
  <c r="AP62" i="1" s="1"/>
  <c r="AM62" i="1"/>
  <c r="AS43" i="1"/>
  <c r="AQ50" i="1"/>
  <c r="AS61" i="1"/>
  <c r="AK61" i="1" s="1"/>
  <c r="AR10" i="1"/>
  <c r="AK10" i="1" s="1"/>
  <c r="AK42" i="1"/>
  <c r="AR32" i="1"/>
  <c r="AS47" i="1"/>
  <c r="AR23" i="1"/>
  <c r="AS23" i="1"/>
  <c r="AR60" i="1"/>
  <c r="AR31" i="1"/>
  <c r="AS46" i="1"/>
  <c r="AR13" i="1"/>
  <c r="AK53" i="1"/>
  <c r="AS51" i="1"/>
  <c r="AQ22" i="1"/>
  <c r="AK12" i="1" l="1"/>
  <c r="AV8" i="1"/>
  <c r="AR54" i="1"/>
  <c r="AR30" i="1"/>
  <c r="AK60" i="1"/>
  <c r="AK32" i="1"/>
  <c r="AQ55" i="1"/>
  <c r="AK55" i="1" s="1"/>
  <c r="AT8" i="1"/>
  <c r="AK44" i="1"/>
  <c r="AQ62" i="1"/>
  <c r="AQ56" i="1"/>
  <c r="AK43" i="1"/>
  <c r="AR27" i="1"/>
  <c r="AK27" i="1" s="1"/>
  <c r="AK50" i="1"/>
  <c r="AK33" i="1"/>
  <c r="AK22" i="1"/>
  <c r="AK25" i="1"/>
  <c r="AT25" i="1" s="1"/>
  <c r="AQ29" i="1"/>
  <c r="AK16" i="1"/>
  <c r="AK59" i="1"/>
  <c r="AT59" i="1" s="1"/>
  <c r="AK28" i="1"/>
  <c r="AT28" i="1" s="1"/>
  <c r="AK35" i="1"/>
  <c r="AR29" i="1"/>
  <c r="AK23" i="1"/>
  <c r="AT23" i="1" s="1"/>
  <c r="AK26" i="1"/>
  <c r="AK45" i="1"/>
  <c r="AK13" i="1"/>
  <c r="AK21" i="1"/>
  <c r="AT21" i="1" s="1"/>
  <c r="AR64" i="1"/>
  <c r="AQ40" i="1"/>
  <c r="AK46" i="1"/>
  <c r="AU46" i="1" s="1"/>
  <c r="AW46" i="1" s="1"/>
  <c r="AK47" i="1"/>
  <c r="AU47" i="1" s="1"/>
  <c r="AW47" i="1" s="1"/>
  <c r="AQ63" i="1"/>
  <c r="AK51" i="1"/>
  <c r="AU51" i="1" s="1"/>
  <c r="AW51" i="1" s="1"/>
  <c r="AK48" i="1"/>
  <c r="AV48" i="1" s="1"/>
  <c r="AK31" i="1"/>
  <c r="AU31" i="1" s="1"/>
  <c r="AW31" i="1" s="1"/>
  <c r="AQ38" i="1"/>
  <c r="AK19" i="1"/>
  <c r="AV19" i="1" s="1"/>
  <c r="AK11" i="1"/>
  <c r="AV11" i="1" s="1"/>
  <c r="AK24" i="1"/>
  <c r="AU24" i="1" s="1"/>
  <c r="AW24" i="1" s="1"/>
  <c r="AV25" i="1"/>
  <c r="AV37" i="1"/>
  <c r="AT37" i="1"/>
  <c r="AU37" i="1"/>
  <c r="AW37" i="1" s="1"/>
  <c r="AV51" i="1"/>
  <c r="AU48" i="1"/>
  <c r="AW48" i="1" s="1"/>
  <c r="AV60" i="1"/>
  <c r="AU60" i="1"/>
  <c r="AW60" i="1" s="1"/>
  <c r="AT60" i="1"/>
  <c r="AV32" i="1"/>
  <c r="AT32" i="1"/>
  <c r="AU32" i="1"/>
  <c r="AW32" i="1" s="1"/>
  <c r="AV20" i="1"/>
  <c r="AU20" i="1"/>
  <c r="AW20" i="1" s="1"/>
  <c r="AT20" i="1"/>
  <c r="AV17" i="1"/>
  <c r="AT17" i="1"/>
  <c r="AU17" i="1"/>
  <c r="AW17" i="1" s="1"/>
  <c r="AV28" i="1"/>
  <c r="AU28" i="1"/>
  <c r="AW28" i="1" s="1"/>
  <c r="AV35" i="1"/>
  <c r="AU35" i="1"/>
  <c r="AW35" i="1" s="1"/>
  <c r="AT35" i="1"/>
  <c r="AU19" i="1"/>
  <c r="AW19" i="1" s="1"/>
  <c r="AT19" i="1"/>
  <c r="AV50" i="1"/>
  <c r="AT50" i="1"/>
  <c r="AU50" i="1"/>
  <c r="AW50" i="1" s="1"/>
  <c r="AV57" i="1"/>
  <c r="AT57" i="1"/>
  <c r="AU57" i="1"/>
  <c r="AW57" i="1" s="1"/>
  <c r="AV12" i="1"/>
  <c r="AT12" i="1"/>
  <c r="AU12" i="1"/>
  <c r="AW12" i="1" s="1"/>
  <c r="AV49" i="1"/>
  <c r="AT49" i="1"/>
  <c r="AU49" i="1"/>
  <c r="AW49" i="1" s="1"/>
  <c r="AV44" i="1"/>
  <c r="AT44" i="1"/>
  <c r="AU44" i="1"/>
  <c r="AW44" i="1" s="1"/>
  <c r="AV58" i="1"/>
  <c r="AT58" i="1"/>
  <c r="AU58" i="1"/>
  <c r="AW58" i="1" s="1"/>
  <c r="AU11" i="1"/>
  <c r="AW11" i="1" s="1"/>
  <c r="AU23" i="1"/>
  <c r="AW23" i="1" s="1"/>
  <c r="AV10" i="1"/>
  <c r="AU10" i="1"/>
  <c r="AW10" i="1" s="1"/>
  <c r="AT10" i="1"/>
  <c r="AV33" i="1"/>
  <c r="AU33" i="1"/>
  <c r="AW33" i="1" s="1"/>
  <c r="AT33" i="1"/>
  <c r="AV26" i="1"/>
  <c r="AT26" i="1"/>
  <c r="AU26" i="1"/>
  <c r="AW26" i="1" s="1"/>
  <c r="AV45" i="1"/>
  <c r="AT45" i="1"/>
  <c r="AU45" i="1"/>
  <c r="AW45" i="1" s="1"/>
  <c r="AV13" i="1"/>
  <c r="AT13" i="1"/>
  <c r="AU13" i="1"/>
  <c r="AW13" i="1" s="1"/>
  <c r="AV15" i="1"/>
  <c r="AT15" i="1"/>
  <c r="AU15" i="1"/>
  <c r="AW15" i="1" s="1"/>
  <c r="AV21" i="1"/>
  <c r="AU21" i="1"/>
  <c r="AW21" i="1" s="1"/>
  <c r="AV52" i="1"/>
  <c r="AU52" i="1"/>
  <c r="AW52" i="1" s="1"/>
  <c r="AT52" i="1"/>
  <c r="AV43" i="1"/>
  <c r="AU43" i="1"/>
  <c r="AW43" i="1" s="1"/>
  <c r="AT43" i="1"/>
  <c r="AR62" i="1"/>
  <c r="AR34" i="1"/>
  <c r="AV16" i="1"/>
  <c r="AT16" i="1"/>
  <c r="AU16" i="1"/>
  <c r="AW16" i="1" s="1"/>
  <c r="AS18" i="1"/>
  <c r="AS54" i="1"/>
  <c r="AQ41" i="1"/>
  <c r="AS41" i="1"/>
  <c r="AR63" i="1"/>
  <c r="AQ39" i="1"/>
  <c r="AS9" i="1"/>
  <c r="AS36" i="1"/>
  <c r="AV53" i="1"/>
  <c r="AT53" i="1"/>
  <c r="AU53" i="1"/>
  <c r="AW53" i="1" s="1"/>
  <c r="AV61" i="1"/>
  <c r="AU61" i="1"/>
  <c r="AW61" i="1" s="1"/>
  <c r="AT61" i="1"/>
  <c r="AV22" i="1"/>
  <c r="AT22" i="1"/>
  <c r="AR41" i="1"/>
  <c r="AS39" i="1"/>
  <c r="AQ30" i="1"/>
  <c r="AS56" i="1"/>
  <c r="AV14" i="1"/>
  <c r="AT14" i="1"/>
  <c r="AU14" i="1"/>
  <c r="AW14" i="1" s="1"/>
  <c r="AV55" i="1"/>
  <c r="AU55" i="1"/>
  <c r="AW55" i="1" s="1"/>
  <c r="AT55" i="1"/>
  <c r="AQ18" i="1"/>
  <c r="AR18" i="1"/>
  <c r="AQ54" i="1"/>
  <c r="AS38" i="1"/>
  <c r="AS63" i="1"/>
  <c r="AK63" i="1" s="1"/>
  <c r="AR39" i="1"/>
  <c r="AR9" i="1"/>
  <c r="AQ64" i="1"/>
  <c r="AS40" i="1"/>
  <c r="AX8" i="1"/>
  <c r="AV42" i="1"/>
  <c r="AU42" i="1"/>
  <c r="AW42" i="1" s="1"/>
  <c r="AT42" i="1"/>
  <c r="AS62" i="1"/>
  <c r="AK62" i="1" s="1"/>
  <c r="AS30" i="1"/>
  <c r="AR56" i="1"/>
  <c r="AQ34" i="1"/>
  <c r="AS34" i="1"/>
  <c r="AU22" i="1"/>
  <c r="AW22" i="1" s="1"/>
  <c r="AR38" i="1"/>
  <c r="AK38" i="1" s="1"/>
  <c r="AQ9" i="1"/>
  <c r="AR36" i="1"/>
  <c r="AQ36" i="1"/>
  <c r="AS64" i="1"/>
  <c r="AR40" i="1"/>
  <c r="BC8" i="1" l="1"/>
  <c r="BD8" i="1" s="1"/>
  <c r="AT11" i="1"/>
  <c r="AT48" i="1"/>
  <c r="AU25" i="1"/>
  <c r="AW25" i="1" s="1"/>
  <c r="AV23" i="1"/>
  <c r="AU59" i="1"/>
  <c r="AW59" i="1" s="1"/>
  <c r="AT24" i="1"/>
  <c r="AK54" i="1"/>
  <c r="AV31" i="1"/>
  <c r="BE8" i="1"/>
  <c r="AV27" i="1"/>
  <c r="AU27" i="1"/>
  <c r="AW27" i="1" s="1"/>
  <c r="AT27" i="1"/>
  <c r="AT51" i="1"/>
  <c r="AK41" i="1"/>
  <c r="AV24" i="1"/>
  <c r="AV59" i="1"/>
  <c r="BC59" i="1" s="1"/>
  <c r="AV46" i="1"/>
  <c r="BC25" i="1"/>
  <c r="AK36" i="1"/>
  <c r="AV36" i="1" s="1"/>
  <c r="AK18" i="1"/>
  <c r="AV18" i="1" s="1"/>
  <c r="AT31" i="1"/>
  <c r="AV47" i="1"/>
  <c r="AT46" i="1"/>
  <c r="AK29" i="1"/>
  <c r="AK34" i="1"/>
  <c r="AU34" i="1" s="1"/>
  <c r="AW34" i="1" s="1"/>
  <c r="BC21" i="1"/>
  <c r="BC26" i="1"/>
  <c r="BC24" i="1"/>
  <c r="BE24" i="1" s="1"/>
  <c r="BC49" i="1"/>
  <c r="BD49" i="1" s="1"/>
  <c r="BC32" i="1"/>
  <c r="BC37" i="1"/>
  <c r="BE37" i="1" s="1"/>
  <c r="AK56" i="1"/>
  <c r="AV56" i="1" s="1"/>
  <c r="BC13" i="1"/>
  <c r="BE13" i="1" s="1"/>
  <c r="BC58" i="1"/>
  <c r="BC57" i="1"/>
  <c r="BD57" i="1" s="1"/>
  <c r="BC28" i="1"/>
  <c r="BD28" i="1" s="1"/>
  <c r="BC17" i="1"/>
  <c r="BD17" i="1" s="1"/>
  <c r="BC48" i="1"/>
  <c r="AT47" i="1"/>
  <c r="AK64" i="1"/>
  <c r="AT64" i="1" s="1"/>
  <c r="BC14" i="1"/>
  <c r="BE14" i="1" s="1"/>
  <c r="AK30" i="1"/>
  <c r="AT30" i="1" s="1"/>
  <c r="AX61" i="1"/>
  <c r="AJ61" i="1" s="1"/>
  <c r="AX53" i="1"/>
  <c r="AJ53" i="1" s="1"/>
  <c r="BC15" i="1"/>
  <c r="BE15" i="1" s="1"/>
  <c r="BC12" i="1"/>
  <c r="AK40" i="1"/>
  <c r="AT40" i="1" s="1"/>
  <c r="AK9" i="1"/>
  <c r="AV9" i="1" s="1"/>
  <c r="AK39" i="1"/>
  <c r="AV39" i="1" s="1"/>
  <c r="BC16" i="1"/>
  <c r="BE16" i="1" s="1"/>
  <c r="BC45" i="1"/>
  <c r="BE45" i="1" s="1"/>
  <c r="BC44" i="1"/>
  <c r="BE44" i="1" s="1"/>
  <c r="BC50" i="1"/>
  <c r="AV38" i="1"/>
  <c r="AU38" i="1"/>
  <c r="AW38" i="1" s="1"/>
  <c r="AT38" i="1"/>
  <c r="AV63" i="1"/>
  <c r="AU63" i="1"/>
  <c r="AW63" i="1" s="1"/>
  <c r="AT63" i="1"/>
  <c r="AV64" i="1"/>
  <c r="AV30" i="1"/>
  <c r="AU30" i="1"/>
  <c r="AW30" i="1" s="1"/>
  <c r="AU36" i="1"/>
  <c r="AW36" i="1" s="1"/>
  <c r="AT36" i="1"/>
  <c r="AV34" i="1"/>
  <c r="AV54" i="1"/>
  <c r="AU54" i="1"/>
  <c r="AW54" i="1" s="1"/>
  <c r="AT54" i="1"/>
  <c r="AU40" i="1"/>
  <c r="AW40" i="1" s="1"/>
  <c r="AU39" i="1"/>
  <c r="AW39" i="1" s="1"/>
  <c r="AT39" i="1"/>
  <c r="BB61" i="1"/>
  <c r="BC55" i="1"/>
  <c r="BC43" i="1"/>
  <c r="BC52" i="1"/>
  <c r="BC33" i="1"/>
  <c r="BC10" i="1"/>
  <c r="BC23" i="1"/>
  <c r="BC11" i="1"/>
  <c r="BC19" i="1"/>
  <c r="BC35" i="1"/>
  <c r="BC27" i="1"/>
  <c r="BC31" i="1"/>
  <c r="BC20" i="1"/>
  <c r="BC60" i="1"/>
  <c r="BC51" i="1"/>
  <c r="BC47" i="1"/>
  <c r="BD14" i="1"/>
  <c r="BD16" i="1"/>
  <c r="BD13" i="1"/>
  <c r="BD24" i="1"/>
  <c r="BE49" i="1"/>
  <c r="BE57" i="1"/>
  <c r="BE28" i="1"/>
  <c r="BE17" i="1"/>
  <c r="BE32" i="1"/>
  <c r="BD32" i="1"/>
  <c r="BE48" i="1"/>
  <c r="BD48" i="1"/>
  <c r="BD37" i="1"/>
  <c r="BE25" i="1"/>
  <c r="BD25" i="1"/>
  <c r="AV62" i="1"/>
  <c r="AU62" i="1"/>
  <c r="AW62" i="1" s="1"/>
  <c r="AT62" i="1"/>
  <c r="AV41" i="1"/>
  <c r="AU41" i="1"/>
  <c r="AW41" i="1" s="1"/>
  <c r="AT41" i="1"/>
  <c r="AU18" i="1"/>
  <c r="AW18" i="1" s="1"/>
  <c r="AT18" i="1"/>
  <c r="BE26" i="1"/>
  <c r="BD26" i="1"/>
  <c r="BE58" i="1"/>
  <c r="BD58" i="1"/>
  <c r="BD12" i="1"/>
  <c r="BE12" i="1"/>
  <c r="AX42" i="1"/>
  <c r="BC22" i="1"/>
  <c r="BC61" i="1"/>
  <c r="AX16" i="1"/>
  <c r="AX21" i="1"/>
  <c r="AX26" i="1"/>
  <c r="AX24" i="1"/>
  <c r="AX11" i="1"/>
  <c r="AX12" i="1"/>
  <c r="AX19" i="1"/>
  <c r="AX17" i="1"/>
  <c r="AX20" i="1"/>
  <c r="AT56" i="1"/>
  <c r="BB53" i="1"/>
  <c r="BD21" i="1"/>
  <c r="BE21" i="1"/>
  <c r="BD45" i="1"/>
  <c r="BD44" i="1"/>
  <c r="BD50" i="1"/>
  <c r="BE50" i="1"/>
  <c r="BC42" i="1"/>
  <c r="BB8" i="1"/>
  <c r="AJ8" i="1"/>
  <c r="AX55" i="1"/>
  <c r="AX14" i="1"/>
  <c r="BF8" i="1"/>
  <c r="BH8" i="1" s="1"/>
  <c r="AX22" i="1"/>
  <c r="BC53" i="1"/>
  <c r="AX43" i="1"/>
  <c r="AX52" i="1"/>
  <c r="AX15" i="1"/>
  <c r="AX13" i="1"/>
  <c r="AX45" i="1"/>
  <c r="AX33" i="1"/>
  <c r="AX10" i="1"/>
  <c r="AX23" i="1"/>
  <c r="AX58" i="1"/>
  <c r="AX44" i="1"/>
  <c r="AX49" i="1"/>
  <c r="AX57" i="1"/>
  <c r="AX50" i="1"/>
  <c r="AX35" i="1"/>
  <c r="AX28" i="1"/>
  <c r="AX31" i="1"/>
  <c r="AX59" i="1"/>
  <c r="AX32" i="1"/>
  <c r="AX60" i="1"/>
  <c r="AX48" i="1"/>
  <c r="AX51" i="1"/>
  <c r="AX37" i="1"/>
  <c r="AX47" i="1"/>
  <c r="AX25" i="1"/>
  <c r="AX46" i="1"/>
  <c r="AU9" i="1" l="1"/>
  <c r="AW9" i="1" s="1"/>
  <c r="BC46" i="1"/>
  <c r="AX27" i="1"/>
  <c r="BD59" i="1"/>
  <c r="BE59" i="1"/>
  <c r="AU56" i="1"/>
  <c r="AW56" i="1" s="1"/>
  <c r="AV40" i="1"/>
  <c r="AT34" i="1"/>
  <c r="BD15" i="1"/>
  <c r="AU64" i="1"/>
  <c r="AW64" i="1" s="1"/>
  <c r="AT9" i="1"/>
  <c r="BC9" i="1" s="1"/>
  <c r="BD9" i="1" s="1"/>
  <c r="BC34" i="1"/>
  <c r="BC63" i="1"/>
  <c r="AX18" i="1"/>
  <c r="AJ18" i="1" s="1"/>
  <c r="BC39" i="1"/>
  <c r="BE39" i="1" s="1"/>
  <c r="AU29" i="1"/>
  <c r="AV29" i="1"/>
  <c r="AT29" i="1"/>
  <c r="AX62" i="1"/>
  <c r="BB62" i="1" s="1"/>
  <c r="BC54" i="1"/>
  <c r="BE54" i="1" s="1"/>
  <c r="AX41" i="1"/>
  <c r="BB41" i="1" s="1"/>
  <c r="BC40" i="1"/>
  <c r="BD40" i="1" s="1"/>
  <c r="BC30" i="1"/>
  <c r="BD30" i="1" s="1"/>
  <c r="BC36" i="1"/>
  <c r="BD36" i="1" s="1"/>
  <c r="BC38" i="1"/>
  <c r="BD38" i="1" s="1"/>
  <c r="BB46" i="1"/>
  <c r="AJ46" i="1"/>
  <c r="BB44" i="1"/>
  <c r="AJ44" i="1"/>
  <c r="BB55" i="1"/>
  <c r="AJ55" i="1"/>
  <c r="BF50" i="1"/>
  <c r="BG50" i="1" s="1"/>
  <c r="BF45" i="1"/>
  <c r="BH45" i="1" s="1"/>
  <c r="BK53" i="1"/>
  <c r="BB19" i="1"/>
  <c r="AJ19" i="1"/>
  <c r="BB26" i="1"/>
  <c r="AJ26" i="1"/>
  <c r="BE22" i="1"/>
  <c r="BD22" i="1"/>
  <c r="BB18" i="1"/>
  <c r="BF17" i="1"/>
  <c r="BH17" i="1" s="1"/>
  <c r="BF28" i="1"/>
  <c r="BG28" i="1" s="1"/>
  <c r="BF49" i="1"/>
  <c r="BH49" i="1" s="1"/>
  <c r="BE51" i="1"/>
  <c r="BD51" i="1"/>
  <c r="BD27" i="1"/>
  <c r="BE27" i="1"/>
  <c r="BE23" i="1"/>
  <c r="BD23" i="1"/>
  <c r="BE43" i="1"/>
  <c r="BD43" i="1"/>
  <c r="BD39" i="1"/>
  <c r="BD54" i="1"/>
  <c r="BD34" i="1"/>
  <c r="BE34" i="1"/>
  <c r="BE63" i="1"/>
  <c r="BD63" i="1"/>
  <c r="BB35" i="1"/>
  <c r="AJ35" i="1"/>
  <c r="BB25" i="1"/>
  <c r="AJ25" i="1"/>
  <c r="BB48" i="1"/>
  <c r="AJ48" i="1"/>
  <c r="BB31" i="1"/>
  <c r="AJ31" i="1"/>
  <c r="BB50" i="1"/>
  <c r="AJ50" i="1"/>
  <c r="BB58" i="1"/>
  <c r="AJ58" i="1"/>
  <c r="BB45" i="1"/>
  <c r="AJ45" i="1"/>
  <c r="BB43" i="1"/>
  <c r="AJ43" i="1"/>
  <c r="BG8" i="1"/>
  <c r="BJ8" i="1"/>
  <c r="BI8" i="1"/>
  <c r="BK8" i="1"/>
  <c r="AY53" i="1"/>
  <c r="AZ53" i="1" s="1"/>
  <c r="BB12" i="1"/>
  <c r="AJ12" i="1"/>
  <c r="BB21" i="1"/>
  <c r="AJ21" i="1"/>
  <c r="BB42" i="1"/>
  <c r="AJ42" i="1"/>
  <c r="BF58" i="1"/>
  <c r="BH58" i="1" s="1"/>
  <c r="BF15" i="1"/>
  <c r="BG15" i="1" s="1"/>
  <c r="BF25" i="1"/>
  <c r="BG25" i="1" s="1"/>
  <c r="BF48" i="1"/>
  <c r="BG48" i="1" s="1"/>
  <c r="BF13" i="1"/>
  <c r="BG13" i="1" s="1"/>
  <c r="BF14" i="1"/>
  <c r="BG14" i="1" s="1"/>
  <c r="BE60" i="1"/>
  <c r="BD60" i="1"/>
  <c r="BE35" i="1"/>
  <c r="BD35" i="1"/>
  <c r="BE10" i="1"/>
  <c r="BD10" i="1"/>
  <c r="BE55" i="1"/>
  <c r="BD55" i="1"/>
  <c r="BB51" i="1"/>
  <c r="AJ51" i="1"/>
  <c r="BB52" i="1"/>
  <c r="AJ52" i="1"/>
  <c r="BB47" i="1"/>
  <c r="AJ47" i="1"/>
  <c r="BB60" i="1"/>
  <c r="AJ60" i="1"/>
  <c r="BB27" i="1"/>
  <c r="AJ27" i="1"/>
  <c r="BB57" i="1"/>
  <c r="AJ57" i="1"/>
  <c r="BB23" i="1"/>
  <c r="AJ23" i="1"/>
  <c r="BB13" i="1"/>
  <c r="AJ13" i="1"/>
  <c r="BE53" i="1"/>
  <c r="BD53" i="1"/>
  <c r="BJ53" i="1" s="1"/>
  <c r="AY8" i="1"/>
  <c r="BA8" i="1" s="1"/>
  <c r="BF21" i="1"/>
  <c r="BG21" i="1" s="1"/>
  <c r="BC56" i="1"/>
  <c r="BB20" i="1"/>
  <c r="AJ20" i="1"/>
  <c r="BB11" i="1"/>
  <c r="AJ11" i="1"/>
  <c r="BB16" i="1"/>
  <c r="AJ16" i="1"/>
  <c r="BF12" i="1"/>
  <c r="BH12" i="1" s="1"/>
  <c r="BC18" i="1"/>
  <c r="BC41" i="1"/>
  <c r="BC62" i="1"/>
  <c r="BF37" i="1"/>
  <c r="BH37" i="1" s="1"/>
  <c r="BF24" i="1"/>
  <c r="BH24" i="1" s="1"/>
  <c r="BF16" i="1"/>
  <c r="BH16" i="1" s="1"/>
  <c r="BD46" i="1"/>
  <c r="BE46" i="1"/>
  <c r="BE20" i="1"/>
  <c r="BD20" i="1"/>
  <c r="BD19" i="1"/>
  <c r="BE19" i="1"/>
  <c r="BE33" i="1"/>
  <c r="BD33" i="1"/>
  <c r="BK61" i="1"/>
  <c r="BB59" i="1"/>
  <c r="AJ59" i="1"/>
  <c r="BB33" i="1"/>
  <c r="AJ33" i="1"/>
  <c r="BB37" i="1"/>
  <c r="AJ37" i="1"/>
  <c r="BB32" i="1"/>
  <c r="AJ32" i="1"/>
  <c r="BB28" i="1"/>
  <c r="AJ28" i="1"/>
  <c r="BB49" i="1"/>
  <c r="AJ49" i="1"/>
  <c r="BB10" i="1"/>
  <c r="AJ10" i="1"/>
  <c r="BB15" i="1"/>
  <c r="AJ15" i="1"/>
  <c r="BB22" i="1"/>
  <c r="AJ22" i="1"/>
  <c r="BB14" i="1"/>
  <c r="AJ14" i="1"/>
  <c r="BE42" i="1"/>
  <c r="BD42" i="1"/>
  <c r="BF44" i="1"/>
  <c r="BH44" i="1" s="1"/>
  <c r="BB17" i="1"/>
  <c r="AJ17" i="1"/>
  <c r="BB24" i="1"/>
  <c r="AJ24" i="1"/>
  <c r="BD61" i="1"/>
  <c r="BI61" i="1" s="1"/>
  <c r="BE61" i="1"/>
  <c r="BF26" i="1"/>
  <c r="BH26" i="1" s="1"/>
  <c r="BF32" i="1"/>
  <c r="BG32" i="1" s="1"/>
  <c r="BF59" i="1"/>
  <c r="BG59" i="1" s="1"/>
  <c r="BF57" i="1"/>
  <c r="BG57" i="1" s="1"/>
  <c r="BE47" i="1"/>
  <c r="BD47" i="1"/>
  <c r="BE31" i="1"/>
  <c r="BD31" i="1"/>
  <c r="BE11" i="1"/>
  <c r="BD11" i="1"/>
  <c r="BE52" i="1"/>
  <c r="BD52" i="1"/>
  <c r="AY61" i="1"/>
  <c r="BA61" i="1" s="1"/>
  <c r="AX39" i="1"/>
  <c r="AX9" i="1"/>
  <c r="AX40" i="1"/>
  <c r="AX54" i="1"/>
  <c r="AX34" i="1"/>
  <c r="AX36" i="1"/>
  <c r="AX30" i="1"/>
  <c r="AX64" i="1"/>
  <c r="AX63" i="1"/>
  <c r="AX38" i="1"/>
  <c r="AJ62" i="1" l="1"/>
  <c r="BC64" i="1"/>
  <c r="AX56" i="1"/>
  <c r="BE38" i="1"/>
  <c r="BH59" i="1"/>
  <c r="BH14" i="1"/>
  <c r="BH32" i="1"/>
  <c r="BH15" i="1"/>
  <c r="BE30" i="1"/>
  <c r="BF30" i="1" s="1"/>
  <c r="BG30" i="1" s="1"/>
  <c r="BE40" i="1"/>
  <c r="BF40" i="1" s="1"/>
  <c r="BG40" i="1" s="1"/>
  <c r="BA53" i="1"/>
  <c r="BG37" i="1"/>
  <c r="BE9" i="1"/>
  <c r="BC29" i="1"/>
  <c r="BE29" i="1" s="1"/>
  <c r="BH13" i="1"/>
  <c r="BG12" i="1"/>
  <c r="BE36" i="1"/>
  <c r="AW29" i="1"/>
  <c r="AX29" i="1"/>
  <c r="AZ8" i="1"/>
  <c r="AJ41" i="1"/>
  <c r="BH21" i="1"/>
  <c r="BH48" i="1"/>
  <c r="AZ61" i="1"/>
  <c r="BG24" i="1"/>
  <c r="BG49" i="1"/>
  <c r="BH57" i="1"/>
  <c r="BG44" i="1"/>
  <c r="BG16" i="1"/>
  <c r="BB30" i="1"/>
  <c r="AJ30" i="1"/>
  <c r="BB40" i="1"/>
  <c r="AJ40" i="1"/>
  <c r="BG26" i="1"/>
  <c r="AY24" i="1"/>
  <c r="BA24" i="1" s="1"/>
  <c r="BJ14" i="1"/>
  <c r="BI14" i="1"/>
  <c r="BK14" i="1"/>
  <c r="BI15" i="1"/>
  <c r="BJ15" i="1"/>
  <c r="BK15" i="1"/>
  <c r="BJ49" i="1"/>
  <c r="BI49" i="1"/>
  <c r="BK49" i="1"/>
  <c r="BJ32" i="1"/>
  <c r="BI32" i="1"/>
  <c r="BK32" i="1"/>
  <c r="BJ59" i="1"/>
  <c r="BI59" i="1"/>
  <c r="BK59" i="1"/>
  <c r="BJ61" i="1"/>
  <c r="BV61" i="1" s="1"/>
  <c r="BD18" i="1"/>
  <c r="BJ18" i="1" s="1"/>
  <c r="BE18" i="1"/>
  <c r="BI16" i="1"/>
  <c r="BJ16" i="1"/>
  <c r="BK16" i="1"/>
  <c r="BJ20" i="1"/>
  <c r="BI20" i="1"/>
  <c r="BK20" i="1"/>
  <c r="AY13" i="1"/>
  <c r="AZ13" i="1" s="1"/>
  <c r="AY57" i="1"/>
  <c r="BA57" i="1" s="1"/>
  <c r="AY60" i="1"/>
  <c r="BA60" i="1" s="1"/>
  <c r="AY52" i="1"/>
  <c r="AZ52" i="1" s="1"/>
  <c r="BF55" i="1"/>
  <c r="BG55" i="1" s="1"/>
  <c r="BF35" i="1"/>
  <c r="BG35" i="1" s="1"/>
  <c r="BH35" i="1"/>
  <c r="AY21" i="1"/>
  <c r="AZ21" i="1" s="1"/>
  <c r="BJ45" i="1"/>
  <c r="BI45" i="1"/>
  <c r="BK45" i="1"/>
  <c r="BJ50" i="1"/>
  <c r="BI50" i="1"/>
  <c r="BK50" i="1"/>
  <c r="BJ48" i="1"/>
  <c r="BI48" i="1"/>
  <c r="BK48" i="1"/>
  <c r="BJ35" i="1"/>
  <c r="BI35" i="1"/>
  <c r="BK35" i="1"/>
  <c r="BF34" i="1"/>
  <c r="BG34" i="1" s="1"/>
  <c r="AY18" i="1"/>
  <c r="AZ18" i="1" s="1"/>
  <c r="AY26" i="1"/>
  <c r="AZ26" i="1" s="1"/>
  <c r="BI53" i="1"/>
  <c r="BJ55" i="1"/>
  <c r="BI55" i="1"/>
  <c r="BK55" i="1"/>
  <c r="BJ46" i="1"/>
  <c r="BI46" i="1"/>
  <c r="BK46" i="1"/>
  <c r="BB38" i="1"/>
  <c r="AJ38" i="1"/>
  <c r="BB36" i="1"/>
  <c r="AJ36" i="1"/>
  <c r="BB9" i="1"/>
  <c r="AJ9" i="1"/>
  <c r="BF11" i="1"/>
  <c r="BG11" i="1" s="1"/>
  <c r="BF47" i="1"/>
  <c r="BG47" i="1" s="1"/>
  <c r="BF61" i="1"/>
  <c r="BG61" i="1" s="1"/>
  <c r="BJ17" i="1"/>
  <c r="BI17" i="1"/>
  <c r="BK17" i="1"/>
  <c r="AY14" i="1"/>
  <c r="BA14" i="1" s="1"/>
  <c r="AY15" i="1"/>
  <c r="AZ15" i="1" s="1"/>
  <c r="AY49" i="1"/>
  <c r="BA49" i="1" s="1"/>
  <c r="AY32" i="1"/>
  <c r="AZ32" i="1" s="1"/>
  <c r="AY59" i="1"/>
  <c r="AZ59" i="1" s="1"/>
  <c r="AY16" i="1"/>
  <c r="BA16" i="1" s="1"/>
  <c r="AY20" i="1"/>
  <c r="AZ20" i="1" s="1"/>
  <c r="BJ23" i="1"/>
  <c r="BI23" i="1"/>
  <c r="BK23" i="1"/>
  <c r="BJ27" i="1"/>
  <c r="BI27" i="1"/>
  <c r="BK27" i="1"/>
  <c r="BJ47" i="1"/>
  <c r="BI47" i="1"/>
  <c r="BK47" i="1"/>
  <c r="BJ51" i="1"/>
  <c r="BI51" i="1"/>
  <c r="BK51" i="1"/>
  <c r="BH25" i="1"/>
  <c r="BJ42" i="1"/>
  <c r="BI42" i="1"/>
  <c r="BK42" i="1"/>
  <c r="BJ12" i="1"/>
  <c r="BI12" i="1"/>
  <c r="BK12" i="1"/>
  <c r="AY45" i="1"/>
  <c r="AZ45" i="1" s="1"/>
  <c r="AY50" i="1"/>
  <c r="BA50" i="1" s="1"/>
  <c r="AY48" i="1"/>
  <c r="BA48" i="1" s="1"/>
  <c r="AY35" i="1"/>
  <c r="BA35" i="1" s="1"/>
  <c r="BF63" i="1"/>
  <c r="BG63" i="1" s="1"/>
  <c r="BF39" i="1"/>
  <c r="BG39" i="1" s="1"/>
  <c r="BF23" i="1"/>
  <c r="BG23" i="1" s="1"/>
  <c r="BF51" i="1"/>
  <c r="BH51" i="1" s="1"/>
  <c r="BH28" i="1"/>
  <c r="BG17" i="1"/>
  <c r="BI19" i="1"/>
  <c r="BJ19" i="1"/>
  <c r="BK19" i="1"/>
  <c r="BH50" i="1"/>
  <c r="AY55" i="1"/>
  <c r="BA55" i="1" s="1"/>
  <c r="AY46" i="1"/>
  <c r="AZ46" i="1" s="1"/>
  <c r="BB34" i="1"/>
  <c r="AJ34" i="1"/>
  <c r="BB39" i="1"/>
  <c r="AJ39" i="1"/>
  <c r="AY17" i="1"/>
  <c r="AZ17" i="1" s="1"/>
  <c r="BJ22" i="1"/>
  <c r="BI22" i="1"/>
  <c r="BK22" i="1"/>
  <c r="BJ10" i="1"/>
  <c r="BI10" i="1"/>
  <c r="BK10" i="1"/>
  <c r="BJ28" i="1"/>
  <c r="BI28" i="1"/>
  <c r="BK28" i="1"/>
  <c r="BJ37" i="1"/>
  <c r="BI37" i="1"/>
  <c r="BK37" i="1"/>
  <c r="BJ33" i="1"/>
  <c r="BI33" i="1"/>
  <c r="BK33" i="1"/>
  <c r="BF33" i="1"/>
  <c r="BH33" i="1" s="1"/>
  <c r="BF20" i="1"/>
  <c r="BH20" i="1" s="1"/>
  <c r="BD62" i="1"/>
  <c r="BJ62" i="1" s="1"/>
  <c r="BE62" i="1"/>
  <c r="BI11" i="1"/>
  <c r="BJ11" i="1"/>
  <c r="BK11" i="1"/>
  <c r="BE56" i="1"/>
  <c r="BD56" i="1"/>
  <c r="BF53" i="1"/>
  <c r="BG53" i="1" s="1"/>
  <c r="AY23" i="1"/>
  <c r="AZ23" i="1" s="1"/>
  <c r="AY27" i="1"/>
  <c r="BA27" i="1" s="1"/>
  <c r="AY47" i="1"/>
  <c r="BA47" i="1" s="1"/>
  <c r="AY51" i="1"/>
  <c r="BA51" i="1" s="1"/>
  <c r="BF10" i="1"/>
  <c r="BH10" i="1" s="1"/>
  <c r="BF60" i="1"/>
  <c r="BG60" i="1" s="1"/>
  <c r="BG58" i="1"/>
  <c r="AY42" i="1"/>
  <c r="AZ42" i="1" s="1"/>
  <c r="AY12" i="1"/>
  <c r="AZ12" i="1" s="1"/>
  <c r="BJ43" i="1"/>
  <c r="BI43" i="1"/>
  <c r="BK43" i="1"/>
  <c r="BJ58" i="1"/>
  <c r="BI58" i="1"/>
  <c r="BK58" i="1"/>
  <c r="BJ31" i="1"/>
  <c r="BI31" i="1"/>
  <c r="BK31" i="1"/>
  <c r="BJ25" i="1"/>
  <c r="BI25" i="1"/>
  <c r="BK25" i="1"/>
  <c r="BF38" i="1"/>
  <c r="BG38" i="1" s="1"/>
  <c r="BF54" i="1"/>
  <c r="BG54" i="1" s="1"/>
  <c r="BF27" i="1"/>
  <c r="BH27" i="1" s="1"/>
  <c r="BF22" i="1"/>
  <c r="BG22" i="1" s="1"/>
  <c r="AY19" i="1"/>
  <c r="AZ19" i="1" s="1"/>
  <c r="BG45" i="1"/>
  <c r="BJ44" i="1"/>
  <c r="BI44" i="1"/>
  <c r="BK44" i="1"/>
  <c r="BK62" i="1"/>
  <c r="BK41" i="1"/>
  <c r="BB63" i="1"/>
  <c r="AJ63" i="1"/>
  <c r="BB64" i="1"/>
  <c r="AJ64" i="1"/>
  <c r="BB54" i="1"/>
  <c r="AJ54" i="1"/>
  <c r="BF52" i="1"/>
  <c r="BH52" i="1" s="1"/>
  <c r="BF31" i="1"/>
  <c r="BH31" i="1" s="1"/>
  <c r="BJ24" i="1"/>
  <c r="BI24" i="1"/>
  <c r="BK24" i="1"/>
  <c r="BF42" i="1"/>
  <c r="BG42" i="1" s="1"/>
  <c r="AY22" i="1"/>
  <c r="AZ22" i="1" s="1"/>
  <c r="AY10" i="1"/>
  <c r="BA10" i="1" s="1"/>
  <c r="AY28" i="1"/>
  <c r="BA28" i="1" s="1"/>
  <c r="AY37" i="1"/>
  <c r="BA37" i="1" s="1"/>
  <c r="AY33" i="1"/>
  <c r="AZ33" i="1" s="1"/>
  <c r="BF19" i="1"/>
  <c r="BH19" i="1" s="1"/>
  <c r="BF46" i="1"/>
  <c r="BG46" i="1" s="1"/>
  <c r="BD41" i="1"/>
  <c r="BI41" i="1" s="1"/>
  <c r="BE41" i="1"/>
  <c r="AY11" i="1"/>
  <c r="AZ11" i="1" s="1"/>
  <c r="BJ13" i="1"/>
  <c r="BI13" i="1"/>
  <c r="BK13" i="1"/>
  <c r="BJ57" i="1"/>
  <c r="BI57" i="1"/>
  <c r="BK57" i="1"/>
  <c r="BJ60" i="1"/>
  <c r="BI60" i="1"/>
  <c r="BK60" i="1"/>
  <c r="BJ52" i="1"/>
  <c r="BI52" i="1"/>
  <c r="BK52" i="1"/>
  <c r="BJ21" i="1"/>
  <c r="BI21" i="1"/>
  <c r="BK21" i="1"/>
  <c r="BV8" i="1"/>
  <c r="BW8" i="1"/>
  <c r="BX8" i="1"/>
  <c r="AY43" i="1"/>
  <c r="BA43" i="1" s="1"/>
  <c r="AY58" i="1"/>
  <c r="BA58" i="1" s="1"/>
  <c r="AY31" i="1"/>
  <c r="AZ31" i="1" s="1"/>
  <c r="AY25" i="1"/>
  <c r="AZ25" i="1" s="1"/>
  <c r="BF36" i="1"/>
  <c r="BH36" i="1" s="1"/>
  <c r="BF9" i="1"/>
  <c r="BG9" i="1" s="1"/>
  <c r="BF43" i="1"/>
  <c r="BG43" i="1" s="1"/>
  <c r="BK18" i="1"/>
  <c r="BJ26" i="1"/>
  <c r="BI26" i="1"/>
  <c r="BK26" i="1"/>
  <c r="AY44" i="1"/>
  <c r="BA44" i="1" s="1"/>
  <c r="AY62" i="1"/>
  <c r="AZ62" i="1" s="1"/>
  <c r="AY41" i="1"/>
  <c r="BA41" i="1" s="1"/>
  <c r="BA31" i="1" l="1"/>
  <c r="BD64" i="1"/>
  <c r="BE64" i="1"/>
  <c r="BF64" i="1" s="1"/>
  <c r="BH64" i="1" s="1"/>
  <c r="BG10" i="1"/>
  <c r="AJ56" i="1"/>
  <c r="BK56" i="1" s="1"/>
  <c r="BB56" i="1"/>
  <c r="AY56" i="1" s="1"/>
  <c r="AZ56" i="1" s="1"/>
  <c r="BA22" i="1"/>
  <c r="BH38" i="1"/>
  <c r="BH53" i="1"/>
  <c r="BH63" i="1"/>
  <c r="AZ41" i="1"/>
  <c r="BA33" i="1"/>
  <c r="AZ48" i="1"/>
  <c r="BA52" i="1"/>
  <c r="BF29" i="1"/>
  <c r="BH29" i="1" s="1"/>
  <c r="BI18" i="1"/>
  <c r="BV18" i="1" s="1"/>
  <c r="BI62" i="1"/>
  <c r="BD29" i="1"/>
  <c r="BA62" i="1"/>
  <c r="AZ43" i="1"/>
  <c r="BH42" i="1"/>
  <c r="BA19" i="1"/>
  <c r="BA23" i="1"/>
  <c r="BG33" i="1"/>
  <c r="BA32" i="1"/>
  <c r="AJ29" i="1"/>
  <c r="BB29" i="1"/>
  <c r="AY29" i="1" s="1"/>
  <c r="AZ29" i="1" s="1"/>
  <c r="AZ58" i="1"/>
  <c r="AZ10" i="1"/>
  <c r="BG27" i="1"/>
  <c r="BA42" i="1"/>
  <c r="BG31" i="1"/>
  <c r="AZ16" i="1"/>
  <c r="BA11" i="1"/>
  <c r="AZ28" i="1"/>
  <c r="BG52" i="1"/>
  <c r="BH54" i="1"/>
  <c r="BA26" i="1"/>
  <c r="BH30" i="1"/>
  <c r="BG51" i="1"/>
  <c r="AZ57" i="1"/>
  <c r="BA25" i="1"/>
  <c r="BH22" i="1"/>
  <c r="AZ51" i="1"/>
  <c r="AZ47" i="1"/>
  <c r="BG20" i="1"/>
  <c r="BA17" i="1"/>
  <c r="BA56" i="1"/>
  <c r="AZ24" i="1"/>
  <c r="BH43" i="1"/>
  <c r="BG19" i="1"/>
  <c r="BJ41" i="1"/>
  <c r="BW41" i="1" s="1"/>
  <c r="BH46" i="1"/>
  <c r="AZ37" i="1"/>
  <c r="BH39" i="1"/>
  <c r="BA21" i="1"/>
  <c r="AZ44" i="1"/>
  <c r="BV26" i="1"/>
  <c r="BX26" i="1"/>
  <c r="BW26" i="1"/>
  <c r="BH9" i="1"/>
  <c r="BG36" i="1"/>
  <c r="BV52" i="1"/>
  <c r="BX52" i="1"/>
  <c r="BW52" i="1"/>
  <c r="AY64" i="1"/>
  <c r="AZ64" i="1" s="1"/>
  <c r="BV31" i="1"/>
  <c r="BW31" i="1"/>
  <c r="BX31" i="1"/>
  <c r="BA12" i="1"/>
  <c r="BH60" i="1"/>
  <c r="AZ27" i="1"/>
  <c r="BV11" i="1"/>
  <c r="BW11" i="1"/>
  <c r="BX11" i="1"/>
  <c r="BV28" i="1"/>
  <c r="BW28" i="1"/>
  <c r="BX28" i="1"/>
  <c r="AY39" i="1"/>
  <c r="BA39" i="1" s="1"/>
  <c r="BA46" i="1"/>
  <c r="BH40" i="1"/>
  <c r="AZ50" i="1"/>
  <c r="BA45" i="1"/>
  <c r="BV47" i="1"/>
  <c r="BW47" i="1"/>
  <c r="BX47" i="1"/>
  <c r="BA20" i="1"/>
  <c r="BA59" i="1"/>
  <c r="AZ49" i="1"/>
  <c r="BA15" i="1"/>
  <c r="BH61" i="1"/>
  <c r="BH47" i="1"/>
  <c r="BH11" i="1"/>
  <c r="AY36" i="1"/>
  <c r="AZ36" i="1" s="1"/>
  <c r="BI56" i="1"/>
  <c r="BV53" i="1"/>
  <c r="BW53" i="1"/>
  <c r="BX53" i="1"/>
  <c r="BA18" i="1"/>
  <c r="BH34" i="1"/>
  <c r="BV50" i="1"/>
  <c r="BX50" i="1"/>
  <c r="BW50" i="1"/>
  <c r="BH55" i="1"/>
  <c r="BA13" i="1"/>
  <c r="BF18" i="1"/>
  <c r="BH18" i="1" s="1"/>
  <c r="BV59" i="1"/>
  <c r="BW59" i="1"/>
  <c r="BX59" i="1"/>
  <c r="AY30" i="1"/>
  <c r="AZ30" i="1" s="1"/>
  <c r="BV21" i="1"/>
  <c r="BX21" i="1"/>
  <c r="BW21" i="1"/>
  <c r="BV13" i="1"/>
  <c r="BX13" i="1"/>
  <c r="BW13" i="1"/>
  <c r="BV24" i="1"/>
  <c r="BW24" i="1"/>
  <c r="BX24" i="1"/>
  <c r="BJ54" i="1"/>
  <c r="BI54" i="1"/>
  <c r="BK54" i="1"/>
  <c r="BJ63" i="1"/>
  <c r="BI63" i="1"/>
  <c r="BK63" i="1"/>
  <c r="BV25" i="1"/>
  <c r="BW25" i="1"/>
  <c r="BX25" i="1"/>
  <c r="BF56" i="1"/>
  <c r="BH56" i="1" s="1"/>
  <c r="BF62" i="1"/>
  <c r="BH62" i="1" s="1"/>
  <c r="BV37" i="1"/>
  <c r="BW37" i="1"/>
  <c r="BX37" i="1"/>
  <c r="BJ34" i="1"/>
  <c r="BI34" i="1"/>
  <c r="BK34" i="1"/>
  <c r="BV42" i="1"/>
  <c r="BW42" i="1"/>
  <c r="BX42" i="1"/>
  <c r="BV51" i="1"/>
  <c r="BW51" i="1"/>
  <c r="BX51" i="1"/>
  <c r="BV17" i="1"/>
  <c r="BX17" i="1"/>
  <c r="BW17" i="1"/>
  <c r="BJ9" i="1"/>
  <c r="BI9" i="1"/>
  <c r="BK9" i="1"/>
  <c r="BJ38" i="1"/>
  <c r="BI38" i="1"/>
  <c r="BK38" i="1"/>
  <c r="BV48" i="1"/>
  <c r="BW48" i="1"/>
  <c r="BX48" i="1"/>
  <c r="BV49" i="1"/>
  <c r="BW49" i="1"/>
  <c r="BX49" i="1"/>
  <c r="BV15" i="1"/>
  <c r="BW15" i="1"/>
  <c r="BX15" i="1"/>
  <c r="BJ40" i="1"/>
  <c r="BI40" i="1"/>
  <c r="BK40" i="1"/>
  <c r="BW61" i="1"/>
  <c r="BV57" i="1"/>
  <c r="BW57" i="1"/>
  <c r="BX57" i="1"/>
  <c r="BF41" i="1"/>
  <c r="BG41" i="1" s="1"/>
  <c r="AY54" i="1"/>
  <c r="BA54" i="1" s="1"/>
  <c r="AY63" i="1"/>
  <c r="AZ63" i="1" s="1"/>
  <c r="BV44" i="1"/>
  <c r="BX44" i="1"/>
  <c r="BW44" i="1"/>
  <c r="BV43" i="1"/>
  <c r="BW43" i="1"/>
  <c r="BX43" i="1"/>
  <c r="BV33" i="1"/>
  <c r="BX33" i="1"/>
  <c r="BW33" i="1"/>
  <c r="BV22" i="1"/>
  <c r="BX22" i="1"/>
  <c r="BW22" i="1"/>
  <c r="AY34" i="1"/>
  <c r="BA34" i="1" s="1"/>
  <c r="AZ55" i="1"/>
  <c r="BH23" i="1"/>
  <c r="AZ35" i="1"/>
  <c r="BV12" i="1"/>
  <c r="BW12" i="1"/>
  <c r="BX12" i="1"/>
  <c r="BV23" i="1"/>
  <c r="BX23" i="1"/>
  <c r="BW23" i="1"/>
  <c r="AZ14" i="1"/>
  <c r="AY9" i="1"/>
  <c r="AZ9" i="1" s="1"/>
  <c r="AY38" i="1"/>
  <c r="AZ38" i="1" s="1"/>
  <c r="BV55" i="1"/>
  <c r="BW55" i="1"/>
  <c r="BX55" i="1"/>
  <c r="BV35" i="1"/>
  <c r="BX35" i="1"/>
  <c r="BW35" i="1"/>
  <c r="AZ60" i="1"/>
  <c r="BV32" i="1"/>
  <c r="BW32" i="1"/>
  <c r="BX32" i="1"/>
  <c r="AY40" i="1"/>
  <c r="BA40" i="1" s="1"/>
  <c r="BX61" i="1"/>
  <c r="CI8" i="1"/>
  <c r="CK8" i="1"/>
  <c r="CJ8" i="1"/>
  <c r="BV60" i="1"/>
  <c r="BW60" i="1"/>
  <c r="BX60" i="1"/>
  <c r="BJ64" i="1"/>
  <c r="BI64" i="1"/>
  <c r="BK64" i="1"/>
  <c r="BV62" i="1"/>
  <c r="BW62" i="1"/>
  <c r="BX62" i="1"/>
  <c r="BV58" i="1"/>
  <c r="BW58" i="1"/>
  <c r="BX58" i="1"/>
  <c r="BV10" i="1"/>
  <c r="BW10" i="1"/>
  <c r="BX10" i="1"/>
  <c r="BJ39" i="1"/>
  <c r="BI39" i="1"/>
  <c r="BK39" i="1"/>
  <c r="BV19" i="1"/>
  <c r="BX19" i="1"/>
  <c r="BW19" i="1"/>
  <c r="BV27" i="1"/>
  <c r="BW27" i="1"/>
  <c r="BX27" i="1"/>
  <c r="BJ36" i="1"/>
  <c r="BI36" i="1"/>
  <c r="BK36" i="1"/>
  <c r="BV46" i="1"/>
  <c r="BW46" i="1"/>
  <c r="BX46" i="1"/>
  <c r="BV45" i="1"/>
  <c r="BX45" i="1"/>
  <c r="BW45" i="1"/>
  <c r="BV20" i="1"/>
  <c r="BX20" i="1"/>
  <c r="BW20" i="1"/>
  <c r="BV16" i="1"/>
  <c r="BW16" i="1"/>
  <c r="BX16" i="1"/>
  <c r="BV14" i="1"/>
  <c r="BW14" i="1"/>
  <c r="BX14" i="1"/>
  <c r="BJ30" i="1"/>
  <c r="BI30" i="1"/>
  <c r="BK30" i="1"/>
  <c r="BX18" i="1" l="1"/>
  <c r="BG64" i="1"/>
  <c r="BW18" i="1"/>
  <c r="BJ56" i="1"/>
  <c r="AZ54" i="1"/>
  <c r="BA63" i="1"/>
  <c r="BG29" i="1"/>
  <c r="AZ40" i="1"/>
  <c r="BA30" i="1"/>
  <c r="BA29" i="1"/>
  <c r="BG18" i="1"/>
  <c r="BI29" i="1"/>
  <c r="BK29" i="1"/>
  <c r="BJ29" i="1"/>
  <c r="BA9" i="1"/>
  <c r="AZ34" i="1"/>
  <c r="BH41" i="1"/>
  <c r="BV41" i="1"/>
  <c r="CK61" i="1"/>
  <c r="BX41" i="1"/>
  <c r="CI16" i="1"/>
  <c r="CJ16" i="1"/>
  <c r="CK16" i="1"/>
  <c r="BV39" i="1"/>
  <c r="BX39" i="1"/>
  <c r="BW39" i="1"/>
  <c r="CI10" i="1"/>
  <c r="CK10" i="1"/>
  <c r="CJ10" i="1"/>
  <c r="BV64" i="1"/>
  <c r="BW64" i="1"/>
  <c r="BX64" i="1"/>
  <c r="CI60" i="1"/>
  <c r="CK60" i="1"/>
  <c r="CJ60" i="1"/>
  <c r="BA38" i="1"/>
  <c r="CI44" i="1"/>
  <c r="CK44" i="1"/>
  <c r="CJ44" i="1"/>
  <c r="CI57" i="1"/>
  <c r="CK57" i="1"/>
  <c r="CJ57" i="1"/>
  <c r="CI42" i="1"/>
  <c r="CJ42" i="1"/>
  <c r="CK42" i="1"/>
  <c r="BV54" i="1"/>
  <c r="BW54" i="1"/>
  <c r="BX54" i="1"/>
  <c r="CI24" i="1"/>
  <c r="CK24" i="1"/>
  <c r="CJ24" i="1"/>
  <c r="CI59" i="1"/>
  <c r="CJ59" i="1"/>
  <c r="CK59" i="1"/>
  <c r="CI50" i="1"/>
  <c r="CK50" i="1"/>
  <c r="CJ50" i="1"/>
  <c r="CI11" i="1"/>
  <c r="CJ11" i="1"/>
  <c r="CK11" i="1"/>
  <c r="BA64" i="1"/>
  <c r="CI52" i="1"/>
  <c r="CJ52" i="1"/>
  <c r="CK52" i="1"/>
  <c r="CI26" i="1"/>
  <c r="CK26" i="1"/>
  <c r="CJ26" i="1"/>
  <c r="CI61" i="1"/>
  <c r="CI46" i="1"/>
  <c r="CK46" i="1"/>
  <c r="CJ46" i="1"/>
  <c r="CI55" i="1"/>
  <c r="CK55" i="1"/>
  <c r="CJ55" i="1"/>
  <c r="CI43" i="1"/>
  <c r="CK43" i="1"/>
  <c r="CJ43" i="1"/>
  <c r="CI48" i="1"/>
  <c r="CJ48" i="1"/>
  <c r="CK48" i="1"/>
  <c r="CI51" i="1"/>
  <c r="CK51" i="1"/>
  <c r="CJ51" i="1"/>
  <c r="BG62" i="1"/>
  <c r="BV63" i="1"/>
  <c r="BW63" i="1"/>
  <c r="BX63" i="1"/>
  <c r="CI53" i="1"/>
  <c r="CJ53" i="1"/>
  <c r="CK53" i="1"/>
  <c r="BA36" i="1"/>
  <c r="AZ39" i="1"/>
  <c r="CI28" i="1"/>
  <c r="CK28" i="1"/>
  <c r="CJ28" i="1"/>
  <c r="CI18" i="1"/>
  <c r="CJ18" i="1"/>
  <c r="CK18" i="1"/>
  <c r="BV30" i="1"/>
  <c r="BW30" i="1"/>
  <c r="BX30" i="1"/>
  <c r="CI14" i="1"/>
  <c r="CK14" i="1"/>
  <c r="CJ14" i="1"/>
  <c r="CI45" i="1"/>
  <c r="CK45" i="1"/>
  <c r="CJ45" i="1"/>
  <c r="CI19" i="1"/>
  <c r="CJ19" i="1"/>
  <c r="CK19" i="1"/>
  <c r="CI62" i="1"/>
  <c r="CK62" i="1"/>
  <c r="CJ62" i="1"/>
  <c r="CI32" i="1"/>
  <c r="CJ32" i="1"/>
  <c r="CK32" i="1"/>
  <c r="CI35" i="1"/>
  <c r="CK35" i="1"/>
  <c r="CJ35" i="1"/>
  <c r="CI12" i="1"/>
  <c r="CJ12" i="1"/>
  <c r="CK12" i="1"/>
  <c r="CI33" i="1"/>
  <c r="CJ33" i="1"/>
  <c r="CK33" i="1"/>
  <c r="CI49" i="1"/>
  <c r="CJ49" i="1"/>
  <c r="CK49" i="1"/>
  <c r="BV9" i="1"/>
  <c r="BW9" i="1"/>
  <c r="BX9" i="1"/>
  <c r="CI17" i="1"/>
  <c r="CJ17" i="1"/>
  <c r="CK17" i="1"/>
  <c r="BV34" i="1"/>
  <c r="BX34" i="1"/>
  <c r="BW34" i="1"/>
  <c r="CI37" i="1"/>
  <c r="CK37" i="1"/>
  <c r="CJ37" i="1"/>
  <c r="BG56" i="1"/>
  <c r="CI21" i="1"/>
  <c r="CJ21" i="1"/>
  <c r="CK21" i="1"/>
  <c r="BV56" i="1"/>
  <c r="BX56" i="1"/>
  <c r="BW56" i="1"/>
  <c r="CI31" i="1"/>
  <c r="CK31" i="1"/>
  <c r="CJ31" i="1"/>
  <c r="CJ61" i="1"/>
  <c r="CI20" i="1"/>
  <c r="CJ20" i="1"/>
  <c r="CK20" i="1"/>
  <c r="BV36" i="1"/>
  <c r="BW36" i="1"/>
  <c r="BX36" i="1"/>
  <c r="CI27" i="1"/>
  <c r="CJ27" i="1"/>
  <c r="CK27" i="1"/>
  <c r="CI58" i="1"/>
  <c r="CK58" i="1"/>
  <c r="CJ58" i="1"/>
  <c r="DC8" i="1"/>
  <c r="CP8" i="1"/>
  <c r="CR8" i="1" s="1"/>
  <c r="CL8" i="1"/>
  <c r="CI23" i="1"/>
  <c r="CK23" i="1"/>
  <c r="CJ23" i="1"/>
  <c r="CI22" i="1"/>
  <c r="CJ22" i="1"/>
  <c r="CK22" i="1"/>
  <c r="BV40" i="1"/>
  <c r="BX40" i="1"/>
  <c r="BW40" i="1"/>
  <c r="CI15" i="1"/>
  <c r="CK15" i="1"/>
  <c r="CJ15" i="1"/>
  <c r="BV38" i="1"/>
  <c r="BX38" i="1"/>
  <c r="BW38" i="1"/>
  <c r="CI25" i="1"/>
  <c r="CK25" i="1"/>
  <c r="CJ25" i="1"/>
  <c r="CI13" i="1"/>
  <c r="CK13" i="1"/>
  <c r="CJ13" i="1"/>
  <c r="CI47" i="1"/>
  <c r="CJ47" i="1"/>
  <c r="CK47" i="1"/>
  <c r="CI41" i="1"/>
  <c r="CK41" i="1" l="1"/>
  <c r="BX29" i="1"/>
  <c r="BW29" i="1"/>
  <c r="BV29" i="1"/>
  <c r="CJ41" i="1"/>
  <c r="CP41" i="1" s="1"/>
  <c r="CI38" i="1"/>
  <c r="CJ38" i="1"/>
  <c r="CK38" i="1"/>
  <c r="DC23" i="1"/>
  <c r="CP23" i="1"/>
  <c r="CR23" i="1" s="1"/>
  <c r="CL23" i="1"/>
  <c r="CI36" i="1"/>
  <c r="CJ36" i="1"/>
  <c r="CK36" i="1"/>
  <c r="CI34" i="1"/>
  <c r="CK34" i="1"/>
  <c r="CJ34" i="1"/>
  <c r="CP33" i="1"/>
  <c r="CR33" i="1" s="1"/>
  <c r="CL33" i="1"/>
  <c r="DC33" i="1"/>
  <c r="DC19" i="1"/>
  <c r="CL19" i="1"/>
  <c r="CP19" i="1"/>
  <c r="CR19" i="1" s="1"/>
  <c r="DC18" i="1"/>
  <c r="CL18" i="1"/>
  <c r="CP18" i="1"/>
  <c r="CR18" i="1" s="1"/>
  <c r="CP53" i="1"/>
  <c r="CR53" i="1" s="1"/>
  <c r="CL53" i="1"/>
  <c r="DC53" i="1"/>
  <c r="CP55" i="1"/>
  <c r="CR55" i="1" s="1"/>
  <c r="CL55" i="1"/>
  <c r="DC55" i="1"/>
  <c r="DC50" i="1"/>
  <c r="CP50" i="1"/>
  <c r="CR50" i="1" s="1"/>
  <c r="CL50" i="1"/>
  <c r="CP42" i="1"/>
  <c r="CR42" i="1" s="1"/>
  <c r="CL42" i="1"/>
  <c r="DC42" i="1"/>
  <c r="CP10" i="1"/>
  <c r="CR10" i="1" s="1"/>
  <c r="CL10" i="1"/>
  <c r="DC10" i="1"/>
  <c r="DC25" i="1"/>
  <c r="CP25" i="1"/>
  <c r="CR25" i="1" s="1"/>
  <c r="CL25" i="1"/>
  <c r="DC22" i="1"/>
  <c r="CP22" i="1"/>
  <c r="CR22" i="1" s="1"/>
  <c r="CL22" i="1"/>
  <c r="DB8" i="1"/>
  <c r="DD8" i="1" s="1"/>
  <c r="DH8" i="1" s="1"/>
  <c r="DC27" i="1"/>
  <c r="CP27" i="1"/>
  <c r="CR27" i="1" s="1"/>
  <c r="CL27" i="1"/>
  <c r="DC21" i="1"/>
  <c r="CP21" i="1"/>
  <c r="CR21" i="1" s="1"/>
  <c r="CL21" i="1"/>
  <c r="CP37" i="1"/>
  <c r="CR37" i="1" s="1"/>
  <c r="CL37" i="1"/>
  <c r="DC37" i="1"/>
  <c r="DC49" i="1"/>
  <c r="CP49" i="1"/>
  <c r="CR49" i="1" s="1"/>
  <c r="CL49" i="1"/>
  <c r="CP32" i="1"/>
  <c r="CR32" i="1" s="1"/>
  <c r="DC32" i="1"/>
  <c r="CL32" i="1"/>
  <c r="DC62" i="1"/>
  <c r="CP62" i="1"/>
  <c r="CR62" i="1" s="1"/>
  <c r="CL62" i="1"/>
  <c r="CI30" i="1"/>
  <c r="CK30" i="1"/>
  <c r="CJ30" i="1"/>
  <c r="CP43" i="1"/>
  <c r="CR43" i="1" s="1"/>
  <c r="CL43" i="1"/>
  <c r="DC43" i="1"/>
  <c r="CP52" i="1"/>
  <c r="CR52" i="1" s="1"/>
  <c r="CL52" i="1"/>
  <c r="DC52" i="1"/>
  <c r="DC11" i="1"/>
  <c r="CP11" i="1"/>
  <c r="CR11" i="1" s="1"/>
  <c r="CL11" i="1"/>
  <c r="CI54" i="1"/>
  <c r="CJ54" i="1"/>
  <c r="CK54" i="1"/>
  <c r="CI64" i="1"/>
  <c r="CJ64" i="1"/>
  <c r="CK64" i="1"/>
  <c r="DC13" i="1"/>
  <c r="CP13" i="1"/>
  <c r="CR13" i="1" s="1"/>
  <c r="CL13" i="1"/>
  <c r="CI40" i="1"/>
  <c r="CJ40" i="1"/>
  <c r="CK40" i="1"/>
  <c r="CP58" i="1"/>
  <c r="CR58" i="1" s="1"/>
  <c r="CL58" i="1"/>
  <c r="DC58" i="1"/>
  <c r="CI56" i="1"/>
  <c r="CK56" i="1"/>
  <c r="CJ56" i="1"/>
  <c r="CI9" i="1"/>
  <c r="CJ9" i="1"/>
  <c r="CK9" i="1"/>
  <c r="CP35" i="1"/>
  <c r="CR35" i="1" s="1"/>
  <c r="CL35" i="1"/>
  <c r="DC35" i="1"/>
  <c r="CQ8" i="1"/>
  <c r="CP14" i="1"/>
  <c r="CR14" i="1" s="1"/>
  <c r="CL14" i="1"/>
  <c r="DC14" i="1"/>
  <c r="DC48" i="1"/>
  <c r="CP48" i="1"/>
  <c r="CR48" i="1" s="1"/>
  <c r="CL48" i="1"/>
  <c r="DC26" i="1"/>
  <c r="CP26" i="1"/>
  <c r="CR26" i="1" s="1"/>
  <c r="CL26" i="1"/>
  <c r="DC24" i="1"/>
  <c r="CL24" i="1"/>
  <c r="CP24" i="1"/>
  <c r="CR24" i="1" s="1"/>
  <c r="CP44" i="1"/>
  <c r="CR44" i="1" s="1"/>
  <c r="CL44" i="1"/>
  <c r="DC44" i="1"/>
  <c r="CP60" i="1"/>
  <c r="CR60" i="1" s="1"/>
  <c r="CL60" i="1"/>
  <c r="DC60" i="1"/>
  <c r="DC16" i="1"/>
  <c r="CL16" i="1"/>
  <c r="CP16" i="1"/>
  <c r="CR16" i="1" s="1"/>
  <c r="DC47" i="1"/>
  <c r="CP47" i="1"/>
  <c r="CR47" i="1" s="1"/>
  <c r="CL47" i="1"/>
  <c r="CL15" i="1"/>
  <c r="CP15" i="1"/>
  <c r="CR15" i="1" s="1"/>
  <c r="DC15" i="1"/>
  <c r="CQ22" i="1"/>
  <c r="CQ23" i="1"/>
  <c r="DC20" i="1"/>
  <c r="CP20" i="1"/>
  <c r="CR20" i="1" s="1"/>
  <c r="CL20" i="1"/>
  <c r="DC31" i="1"/>
  <c r="CP31" i="1"/>
  <c r="CR31" i="1" s="1"/>
  <c r="CL31" i="1"/>
  <c r="CQ21" i="1"/>
  <c r="DC17" i="1"/>
  <c r="CL17" i="1"/>
  <c r="CP17" i="1"/>
  <c r="CR17" i="1" s="1"/>
  <c r="CQ49" i="1"/>
  <c r="DC12" i="1"/>
  <c r="CP12" i="1"/>
  <c r="CR12" i="1" s="1"/>
  <c r="CL12" i="1"/>
  <c r="CQ32" i="1"/>
  <c r="CP45" i="1"/>
  <c r="CR45" i="1" s="1"/>
  <c r="CL45" i="1"/>
  <c r="DC45" i="1"/>
  <c r="DC28" i="1"/>
  <c r="CP28" i="1"/>
  <c r="CR28" i="1" s="1"/>
  <c r="CL28" i="1"/>
  <c r="CI63" i="1"/>
  <c r="CK63" i="1"/>
  <c r="CJ63" i="1"/>
  <c r="DC51" i="1"/>
  <c r="CP51" i="1"/>
  <c r="CR51" i="1" s="1"/>
  <c r="CL51" i="1"/>
  <c r="CP46" i="1"/>
  <c r="CR46" i="1" s="1"/>
  <c r="CL46" i="1"/>
  <c r="DC46" i="1"/>
  <c r="DC61" i="1"/>
  <c r="CP61" i="1"/>
  <c r="CL61" i="1"/>
  <c r="CQ52" i="1"/>
  <c r="CP59" i="1"/>
  <c r="CR59" i="1" s="1"/>
  <c r="CL59" i="1"/>
  <c r="DC59" i="1"/>
  <c r="CP57" i="1"/>
  <c r="CR57" i="1" s="1"/>
  <c r="CL57" i="1"/>
  <c r="DC57" i="1"/>
  <c r="CQ10" i="1"/>
  <c r="CI39" i="1"/>
  <c r="CK39" i="1"/>
  <c r="CJ39" i="1"/>
  <c r="CL41" i="1" l="1"/>
  <c r="CQ19" i="1"/>
  <c r="CQ18" i="1"/>
  <c r="CQ50" i="1"/>
  <c r="CQ55" i="1"/>
  <c r="CQ27" i="1"/>
  <c r="CQ33" i="1"/>
  <c r="DC41" i="1"/>
  <c r="CR41" i="1"/>
  <c r="CQ41" i="1"/>
  <c r="CI29" i="1"/>
  <c r="CK29" i="1"/>
  <c r="CJ29" i="1"/>
  <c r="CQ42" i="1"/>
  <c r="CQ11" i="1"/>
  <c r="CQ53" i="1"/>
  <c r="DK8" i="1"/>
  <c r="DE8" i="1"/>
  <c r="DG8" i="1" s="1"/>
  <c r="DB57" i="1"/>
  <c r="DD57" i="1" s="1"/>
  <c r="DH57" i="1" s="1"/>
  <c r="DB61" i="1"/>
  <c r="DD61" i="1" s="1"/>
  <c r="DH61" i="1" s="1"/>
  <c r="DB46" i="1"/>
  <c r="DD46" i="1" s="1"/>
  <c r="DH46" i="1" s="1"/>
  <c r="DC63" i="1"/>
  <c r="CP63" i="1"/>
  <c r="CR63" i="1" s="1"/>
  <c r="CL63" i="1"/>
  <c r="DB12" i="1"/>
  <c r="DD12" i="1" s="1"/>
  <c r="DH12" i="1" s="1"/>
  <c r="DB31" i="1"/>
  <c r="DD31" i="1" s="1"/>
  <c r="DH31" i="1" s="1"/>
  <c r="DB47" i="1"/>
  <c r="DD47" i="1" s="1"/>
  <c r="DH47" i="1" s="1"/>
  <c r="DB60" i="1"/>
  <c r="DD60" i="1" s="1"/>
  <c r="DH60" i="1" s="1"/>
  <c r="DB24" i="1"/>
  <c r="DD24" i="1" s="1"/>
  <c r="DH24" i="1" s="1"/>
  <c r="CQ46" i="1"/>
  <c r="CQ51" i="1"/>
  <c r="DC9" i="1"/>
  <c r="CP9" i="1"/>
  <c r="CR9" i="1" s="1"/>
  <c r="CL9" i="1"/>
  <c r="CQ31" i="1"/>
  <c r="CQ15" i="1"/>
  <c r="CQ44" i="1"/>
  <c r="CQ24" i="1"/>
  <c r="CQ26" i="1"/>
  <c r="CQ14" i="1"/>
  <c r="DB32" i="1"/>
  <c r="DD32" i="1" s="1"/>
  <c r="DH32" i="1" s="1"/>
  <c r="CQ12" i="1"/>
  <c r="CQ17" i="1"/>
  <c r="DB21" i="1"/>
  <c r="DD21" i="1" s="1"/>
  <c r="DH21" i="1" s="1"/>
  <c r="DB27" i="1"/>
  <c r="DD27" i="1" s="1"/>
  <c r="DH27" i="1" s="1"/>
  <c r="DB42" i="1"/>
  <c r="DD42" i="1" s="1"/>
  <c r="DH42" i="1" s="1"/>
  <c r="CQ43" i="1"/>
  <c r="CQ25" i="1"/>
  <c r="CP39" i="1"/>
  <c r="CR39" i="1" s="1"/>
  <c r="CL39" i="1"/>
  <c r="DC39" i="1"/>
  <c r="CR61" i="1"/>
  <c r="CQ61" i="1"/>
  <c r="DB28" i="1"/>
  <c r="DD28" i="1" s="1"/>
  <c r="DH28" i="1" s="1"/>
  <c r="DB45" i="1"/>
  <c r="DD45" i="1" s="1"/>
  <c r="DH45" i="1" s="1"/>
  <c r="DB17" i="1"/>
  <c r="DD17" i="1" s="1"/>
  <c r="DH17" i="1" s="1"/>
  <c r="DB16" i="1"/>
  <c r="DD16" i="1" s="1"/>
  <c r="DH16" i="1" s="1"/>
  <c r="CQ57" i="1"/>
  <c r="DB48" i="1"/>
  <c r="DD48" i="1" s="1"/>
  <c r="DH48" i="1" s="1"/>
  <c r="DB14" i="1"/>
  <c r="DD14" i="1" s="1"/>
  <c r="DH14" i="1" s="1"/>
  <c r="DB13" i="1"/>
  <c r="DD13" i="1" s="1"/>
  <c r="DH13" i="1" s="1"/>
  <c r="CQ59" i="1"/>
  <c r="DB62" i="1"/>
  <c r="DD62" i="1" s="1"/>
  <c r="DH62" i="1" s="1"/>
  <c r="DB49" i="1"/>
  <c r="DD49" i="1" s="1"/>
  <c r="DH49" i="1" s="1"/>
  <c r="CQ13" i="1"/>
  <c r="DB10" i="1"/>
  <c r="DD10" i="1" s="1"/>
  <c r="DH10" i="1" s="1"/>
  <c r="CQ48" i="1"/>
  <c r="DB19" i="1"/>
  <c r="DD19" i="1" s="1"/>
  <c r="DH19" i="1" s="1"/>
  <c r="DB33" i="1"/>
  <c r="DD33" i="1" s="1"/>
  <c r="DH33" i="1" s="1"/>
  <c r="CP34" i="1"/>
  <c r="CR34" i="1" s="1"/>
  <c r="CL34" i="1"/>
  <c r="DC34" i="1"/>
  <c r="CP36" i="1"/>
  <c r="CR36" i="1" s="1"/>
  <c r="CL36" i="1"/>
  <c r="DC36" i="1"/>
  <c r="DB26" i="1"/>
  <c r="DD26" i="1" s="1"/>
  <c r="DH26" i="1" s="1"/>
  <c r="CQ28" i="1"/>
  <c r="DB58" i="1"/>
  <c r="DD58" i="1" s="1"/>
  <c r="DH58" i="1" s="1"/>
  <c r="DC64" i="1"/>
  <c r="CP64" i="1"/>
  <c r="CR64" i="1" s="1"/>
  <c r="CL64" i="1"/>
  <c r="DB11" i="1"/>
  <c r="DD11" i="1" s="1"/>
  <c r="DH11" i="1" s="1"/>
  <c r="DB52" i="1"/>
  <c r="DD52" i="1" s="1"/>
  <c r="DH52" i="1" s="1"/>
  <c r="DB37" i="1"/>
  <c r="DD37" i="1" s="1"/>
  <c r="DH37" i="1" s="1"/>
  <c r="DB25" i="1"/>
  <c r="DD25" i="1" s="1"/>
  <c r="DH25" i="1" s="1"/>
  <c r="CQ47" i="1"/>
  <c r="DB50" i="1"/>
  <c r="DD50" i="1" s="1"/>
  <c r="DH50" i="1" s="1"/>
  <c r="DB55" i="1"/>
  <c r="DD55" i="1" s="1"/>
  <c r="DH55" i="1" s="1"/>
  <c r="DB18" i="1"/>
  <c r="DD18" i="1" s="1"/>
  <c r="DH18" i="1" s="1"/>
  <c r="CQ37" i="1"/>
  <c r="DB23" i="1"/>
  <c r="DD23" i="1" s="1"/>
  <c r="DH23" i="1" s="1"/>
  <c r="DB41" i="1"/>
  <c r="DD41" i="1" s="1"/>
  <c r="DH41" i="1" s="1"/>
  <c r="DB59" i="1"/>
  <c r="DD59" i="1" s="1"/>
  <c r="DH59" i="1" s="1"/>
  <c r="DB51" i="1"/>
  <c r="DD51" i="1" s="1"/>
  <c r="DH51" i="1" s="1"/>
  <c r="CQ63" i="1"/>
  <c r="DB20" i="1"/>
  <c r="DD20" i="1" s="1"/>
  <c r="DH20" i="1" s="1"/>
  <c r="DB15" i="1"/>
  <c r="DD15" i="1" s="1"/>
  <c r="DH15" i="1" s="1"/>
  <c r="DB44" i="1"/>
  <c r="DD44" i="1" s="1"/>
  <c r="DH44" i="1" s="1"/>
  <c r="CQ45" i="1"/>
  <c r="DB35" i="1"/>
  <c r="DD35" i="1" s="1"/>
  <c r="DH35" i="1" s="1"/>
  <c r="CP56" i="1"/>
  <c r="CR56" i="1" s="1"/>
  <c r="CL56" i="1"/>
  <c r="DC56" i="1"/>
  <c r="CP40" i="1"/>
  <c r="CR40" i="1" s="1"/>
  <c r="CL40" i="1"/>
  <c r="DC40" i="1"/>
  <c r="CQ60" i="1"/>
  <c r="CP54" i="1"/>
  <c r="CR54" i="1" s="1"/>
  <c r="CL54" i="1"/>
  <c r="DC54" i="1"/>
  <c r="DB43" i="1"/>
  <c r="DD43" i="1" s="1"/>
  <c r="DH43" i="1" s="1"/>
  <c r="DC30" i="1"/>
  <c r="CP30" i="1"/>
  <c r="CR30" i="1" s="1"/>
  <c r="CL30" i="1"/>
  <c r="CQ35" i="1"/>
  <c r="CQ20" i="1"/>
  <c r="CQ58" i="1"/>
  <c r="DB22" i="1"/>
  <c r="DD22" i="1" s="1"/>
  <c r="DH22" i="1" s="1"/>
  <c r="CQ16" i="1"/>
  <c r="DB53" i="1"/>
  <c r="DD53" i="1" s="1"/>
  <c r="DH53" i="1" s="1"/>
  <c r="CQ62" i="1"/>
  <c r="CP38" i="1"/>
  <c r="CR38" i="1" s="1"/>
  <c r="CL38" i="1"/>
  <c r="DC38" i="1"/>
  <c r="CL29" i="1" l="1"/>
  <c r="DB29" i="1" s="1"/>
  <c r="DD29" i="1" s="1"/>
  <c r="DH29" i="1" s="1"/>
  <c r="DK29" i="1" s="1"/>
  <c r="DC29" i="1"/>
  <c r="CP29" i="1"/>
  <c r="CQ36" i="1"/>
  <c r="CQ9" i="1"/>
  <c r="DK22" i="1"/>
  <c r="DE22" i="1"/>
  <c r="DG22" i="1" s="1"/>
  <c r="DK23" i="1"/>
  <c r="DE23" i="1"/>
  <c r="DG23" i="1" s="1"/>
  <c r="DE55" i="1"/>
  <c r="DF55" i="1" s="1"/>
  <c r="DK55" i="1"/>
  <c r="DK25" i="1"/>
  <c r="DE25" i="1"/>
  <c r="DG25" i="1" s="1"/>
  <c r="DK32" i="1"/>
  <c r="DE32" i="1"/>
  <c r="DF32" i="1" s="1"/>
  <c r="DE10" i="1"/>
  <c r="DF10" i="1" s="1"/>
  <c r="DK10" i="1"/>
  <c r="DK62" i="1"/>
  <c r="DE62" i="1"/>
  <c r="DG62" i="1" s="1"/>
  <c r="DK17" i="1"/>
  <c r="DE17" i="1"/>
  <c r="DG17" i="1" s="1"/>
  <c r="DE42" i="1"/>
  <c r="DF42" i="1" s="1"/>
  <c r="DK42" i="1"/>
  <c r="DK35" i="1"/>
  <c r="DE35" i="1"/>
  <c r="DF35" i="1" s="1"/>
  <c r="DE58" i="1"/>
  <c r="DF58" i="1" s="1"/>
  <c r="DK58" i="1"/>
  <c r="DK14" i="1"/>
  <c r="DE14" i="1"/>
  <c r="DF14" i="1" s="1"/>
  <c r="DK31" i="1"/>
  <c r="DE31" i="1"/>
  <c r="DG31" i="1" s="1"/>
  <c r="DE43" i="1"/>
  <c r="DF43" i="1" s="1"/>
  <c r="DK43" i="1"/>
  <c r="DK41" i="1"/>
  <c r="DE41" i="1"/>
  <c r="DF41" i="1" s="1"/>
  <c r="DK19" i="1"/>
  <c r="DE19" i="1"/>
  <c r="DG19" i="1" s="1"/>
  <c r="DB38" i="1"/>
  <c r="DD38" i="1" s="1"/>
  <c r="DH38" i="1" s="1"/>
  <c r="DB54" i="1"/>
  <c r="DD54" i="1" s="1"/>
  <c r="DH54" i="1" s="1"/>
  <c r="DB40" i="1"/>
  <c r="DD40" i="1" s="1"/>
  <c r="DH40" i="1" s="1"/>
  <c r="DB56" i="1"/>
  <c r="DD56" i="1" s="1"/>
  <c r="DH56" i="1" s="1"/>
  <c r="DK51" i="1"/>
  <c r="DE51" i="1"/>
  <c r="DG51" i="1" s="1"/>
  <c r="DE59" i="1"/>
  <c r="DF59" i="1" s="1"/>
  <c r="DK59" i="1"/>
  <c r="DK52" i="1"/>
  <c r="DE52" i="1"/>
  <c r="DG52" i="1" s="1"/>
  <c r="DE11" i="1"/>
  <c r="DG11" i="1" s="1"/>
  <c r="DK11" i="1"/>
  <c r="DK26" i="1"/>
  <c r="DE26" i="1"/>
  <c r="DG26" i="1" s="1"/>
  <c r="DB36" i="1"/>
  <c r="DD36" i="1" s="1"/>
  <c r="DH36" i="1" s="1"/>
  <c r="CQ54" i="1"/>
  <c r="CQ40" i="1"/>
  <c r="DK48" i="1"/>
  <c r="DE48" i="1"/>
  <c r="DG48" i="1" s="1"/>
  <c r="DE45" i="1"/>
  <c r="DG45" i="1" s="1"/>
  <c r="DK45" i="1"/>
  <c r="DK28" i="1"/>
  <c r="DE28" i="1"/>
  <c r="DG28" i="1" s="1"/>
  <c r="DB39" i="1"/>
  <c r="DD39" i="1" s="1"/>
  <c r="DH39" i="1" s="1"/>
  <c r="DK27" i="1"/>
  <c r="DE27" i="1"/>
  <c r="DG27" i="1" s="1"/>
  <c r="DK21" i="1"/>
  <c r="DE21" i="1"/>
  <c r="DG21" i="1" s="1"/>
  <c r="DK12" i="1"/>
  <c r="DE12" i="1"/>
  <c r="DG12" i="1" s="1"/>
  <c r="DK61" i="1"/>
  <c r="DE61" i="1"/>
  <c r="DG61" i="1" s="1"/>
  <c r="DK57" i="1"/>
  <c r="DE57" i="1"/>
  <c r="DF57" i="1" s="1"/>
  <c r="DE53" i="1"/>
  <c r="DG53" i="1" s="1"/>
  <c r="DK53" i="1"/>
  <c r="DE44" i="1"/>
  <c r="DG44" i="1" s="1"/>
  <c r="DK44" i="1"/>
  <c r="DE15" i="1"/>
  <c r="DF15" i="1" s="1"/>
  <c r="DK15" i="1"/>
  <c r="DK18" i="1"/>
  <c r="DE18" i="1"/>
  <c r="DG18" i="1" s="1"/>
  <c r="DK50" i="1"/>
  <c r="DE50" i="1"/>
  <c r="DG50" i="1" s="1"/>
  <c r="DE37" i="1"/>
  <c r="DG37" i="1" s="1"/>
  <c r="DK37" i="1"/>
  <c r="CQ56" i="1"/>
  <c r="DK33" i="1"/>
  <c r="DE33" i="1"/>
  <c r="DG33" i="1" s="1"/>
  <c r="DK49" i="1"/>
  <c r="DE49" i="1"/>
  <c r="DG49" i="1" s="1"/>
  <c r="DK13" i="1"/>
  <c r="DE13" i="1"/>
  <c r="DG13" i="1" s="1"/>
  <c r="DE16" i="1"/>
  <c r="DG16" i="1" s="1"/>
  <c r="DK16" i="1"/>
  <c r="DE60" i="1"/>
  <c r="DG60" i="1" s="1"/>
  <c r="DK60" i="1"/>
  <c r="DB63" i="1"/>
  <c r="DD63" i="1" s="1"/>
  <c r="DH63" i="1" s="1"/>
  <c r="DE46" i="1"/>
  <c r="DF46" i="1" s="1"/>
  <c r="DK46" i="1"/>
  <c r="DF8" i="1"/>
  <c r="DB64" i="1"/>
  <c r="DD64" i="1" s="1"/>
  <c r="DH64" i="1" s="1"/>
  <c r="CQ38" i="1"/>
  <c r="DB9" i="1"/>
  <c r="DD9" i="1" s="1"/>
  <c r="DH9" i="1" s="1"/>
  <c r="DK24" i="1"/>
  <c r="DE24" i="1"/>
  <c r="DF24" i="1" s="1"/>
  <c r="DK47" i="1"/>
  <c r="DE47" i="1"/>
  <c r="DF47" i="1" s="1"/>
  <c r="DB30" i="1"/>
  <c r="DD30" i="1" s="1"/>
  <c r="DH30" i="1" s="1"/>
  <c r="DK20" i="1"/>
  <c r="DE20" i="1"/>
  <c r="DG20" i="1" s="1"/>
  <c r="CQ30" i="1"/>
  <c r="DB34" i="1"/>
  <c r="DD34" i="1" s="1"/>
  <c r="DH34" i="1" s="1"/>
  <c r="CQ34" i="1"/>
  <c r="CQ64" i="1"/>
  <c r="CQ39" i="1"/>
  <c r="DE29" i="1" l="1"/>
  <c r="DG29" i="1" s="1"/>
  <c r="DF61" i="1"/>
  <c r="DG24" i="1"/>
  <c r="DF12" i="1"/>
  <c r="DG57" i="1"/>
  <c r="DF60" i="1"/>
  <c r="DF45" i="1"/>
  <c r="DG47" i="1"/>
  <c r="DF16" i="1"/>
  <c r="DG15" i="1"/>
  <c r="DF19" i="1"/>
  <c r="CR29" i="1"/>
  <c r="CQ29" i="1"/>
  <c r="DF37" i="1"/>
  <c r="DF51" i="1"/>
  <c r="DG46" i="1"/>
  <c r="DF33" i="1"/>
  <c r="DF18" i="1"/>
  <c r="DG59" i="1"/>
  <c r="DG43" i="1"/>
  <c r="DG10" i="1"/>
  <c r="DG41" i="1"/>
  <c r="DF52" i="1"/>
  <c r="DG58" i="1"/>
  <c r="DG55" i="1"/>
  <c r="DK9" i="1"/>
  <c r="DE9" i="1"/>
  <c r="DG9" i="1" s="1"/>
  <c r="DE54" i="1"/>
  <c r="DF54" i="1" s="1"/>
  <c r="DK54" i="1"/>
  <c r="DK34" i="1"/>
  <c r="DE34" i="1"/>
  <c r="DF34" i="1" s="1"/>
  <c r="DK40" i="1"/>
  <c r="DE40" i="1"/>
  <c r="DF40" i="1" s="1"/>
  <c r="DK64" i="1"/>
  <c r="DE64" i="1"/>
  <c r="DG64" i="1" s="1"/>
  <c r="DK63" i="1"/>
  <c r="DE63" i="1"/>
  <c r="DG63" i="1" s="1"/>
  <c r="DF44" i="1"/>
  <c r="DF53" i="1"/>
  <c r="DE39" i="1"/>
  <c r="DG39" i="1" s="1"/>
  <c r="DK39" i="1"/>
  <c r="DE36" i="1"/>
  <c r="DG36" i="1" s="1"/>
  <c r="DK36" i="1"/>
  <c r="DF26" i="1"/>
  <c r="DF11" i="1"/>
  <c r="DK56" i="1"/>
  <c r="DE56" i="1"/>
  <c r="DF56" i="1" s="1"/>
  <c r="DE38" i="1"/>
  <c r="DF38" i="1" s="1"/>
  <c r="DK38" i="1"/>
  <c r="DF31" i="1"/>
  <c r="DG42" i="1"/>
  <c r="DF17" i="1"/>
  <c r="DF29" i="1"/>
  <c r="DF62" i="1"/>
  <c r="DF25" i="1"/>
  <c r="DF23" i="1"/>
  <c r="DF22" i="1"/>
  <c r="DF20" i="1"/>
  <c r="DF13" i="1"/>
  <c r="DF49" i="1"/>
  <c r="DF50" i="1"/>
  <c r="DF21" i="1"/>
  <c r="DF27" i="1"/>
  <c r="DF28" i="1"/>
  <c r="DF48" i="1"/>
  <c r="DG14" i="1"/>
  <c r="DG35" i="1"/>
  <c r="DG32" i="1"/>
  <c r="DK30" i="1"/>
  <c r="DE30" i="1"/>
  <c r="DF30" i="1" s="1"/>
  <c r="DG38" i="1" l="1"/>
  <c r="DG34" i="1"/>
  <c r="DG54" i="1"/>
  <c r="DG30" i="1"/>
  <c r="DF36" i="1"/>
  <c r="DG56" i="1"/>
  <c r="DF39" i="1"/>
  <c r="DF63" i="1"/>
  <c r="DF64" i="1"/>
  <c r="DF9" i="1"/>
  <c r="DG40" i="1"/>
  <c r="CS8" i="1"/>
  <c r="CT8" i="1"/>
  <c r="CU8" i="1"/>
  <c r="CV8" i="1"/>
  <c r="CW8" i="1"/>
  <c r="CX8" i="1"/>
  <c r="CY8" i="1"/>
  <c r="CZ8" i="1"/>
  <c r="DA8" i="1"/>
  <c r="DI8" i="1"/>
  <c r="DN8" i="1"/>
  <c r="DO8" i="1"/>
  <c r="DX8" i="1"/>
  <c r="DY8" i="1"/>
  <c r="DZ8" i="1"/>
  <c r="EA8" i="1"/>
  <c r="CS9" i="1"/>
  <c r="CT9" i="1"/>
  <c r="CU9" i="1"/>
  <c r="CV9" i="1"/>
  <c r="CW9" i="1"/>
  <c r="CX9" i="1"/>
  <c r="CY9" i="1"/>
  <c r="CZ9" i="1"/>
  <c r="DA9" i="1"/>
  <c r="DI9" i="1"/>
  <c r="DN9" i="1"/>
  <c r="DO9" i="1"/>
  <c r="DX9" i="1"/>
  <c r="DY9" i="1"/>
  <c r="DZ9" i="1"/>
  <c r="EA9" i="1"/>
  <c r="CS10" i="1"/>
  <c r="CT10" i="1"/>
  <c r="CU10" i="1"/>
  <c r="CV10" i="1"/>
  <c r="CW10" i="1"/>
  <c r="CX10" i="1"/>
  <c r="CY10" i="1"/>
  <c r="CZ10" i="1"/>
  <c r="DA10" i="1"/>
  <c r="DI10" i="1"/>
  <c r="DN10" i="1"/>
  <c r="DO10" i="1"/>
  <c r="DX10" i="1"/>
  <c r="DY10" i="1"/>
  <c r="DZ10" i="1"/>
  <c r="EA10" i="1"/>
  <c r="CS11" i="1"/>
  <c r="CT11" i="1"/>
  <c r="CU11" i="1"/>
  <c r="CV11" i="1"/>
  <c r="CW11" i="1"/>
  <c r="CX11" i="1"/>
  <c r="CY11" i="1"/>
  <c r="CZ11" i="1"/>
  <c r="DA11" i="1"/>
  <c r="DI11" i="1"/>
  <c r="DN11" i="1"/>
  <c r="DO11" i="1"/>
  <c r="DX11" i="1"/>
  <c r="DY11" i="1"/>
  <c r="DZ11" i="1"/>
  <c r="EA11" i="1"/>
  <c r="CS12" i="1"/>
  <c r="CT12" i="1"/>
  <c r="CU12" i="1"/>
  <c r="CV12" i="1"/>
  <c r="CW12" i="1"/>
  <c r="CX12" i="1"/>
  <c r="CY12" i="1"/>
  <c r="CZ12" i="1"/>
  <c r="DA12" i="1"/>
  <c r="DI12" i="1"/>
  <c r="DN12" i="1"/>
  <c r="DO12" i="1"/>
  <c r="DX12" i="1"/>
  <c r="DY12" i="1"/>
  <c r="DZ12" i="1"/>
  <c r="EA12" i="1"/>
  <c r="CS13" i="1"/>
  <c r="CT13" i="1"/>
  <c r="CU13" i="1"/>
  <c r="CV13" i="1"/>
  <c r="CW13" i="1"/>
  <c r="CX13" i="1"/>
  <c r="CY13" i="1"/>
  <c r="CZ13" i="1"/>
  <c r="DA13" i="1"/>
  <c r="DI13" i="1"/>
  <c r="DN13" i="1"/>
  <c r="DO13" i="1"/>
  <c r="DX13" i="1"/>
  <c r="DY13" i="1"/>
  <c r="DZ13" i="1"/>
  <c r="EA13" i="1"/>
  <c r="CS14" i="1"/>
  <c r="CT14" i="1"/>
  <c r="CU14" i="1"/>
  <c r="CV14" i="1"/>
  <c r="CW14" i="1"/>
  <c r="CX14" i="1"/>
  <c r="CY14" i="1"/>
  <c r="CZ14" i="1"/>
  <c r="DA14" i="1"/>
  <c r="DI14" i="1"/>
  <c r="DN14" i="1"/>
  <c r="DO14" i="1"/>
  <c r="DX14" i="1"/>
  <c r="DY14" i="1"/>
  <c r="DZ14" i="1"/>
  <c r="EA14" i="1"/>
  <c r="CS15" i="1"/>
  <c r="CT15" i="1"/>
  <c r="CU15" i="1"/>
  <c r="CV15" i="1"/>
  <c r="CW15" i="1"/>
  <c r="CX15" i="1"/>
  <c r="CY15" i="1"/>
  <c r="CZ15" i="1"/>
  <c r="DA15" i="1"/>
  <c r="DI15" i="1"/>
  <c r="DN15" i="1"/>
  <c r="DO15" i="1"/>
  <c r="DX15" i="1"/>
  <c r="DY15" i="1"/>
  <c r="DZ15" i="1"/>
  <c r="EA15" i="1"/>
  <c r="CS16" i="1"/>
  <c r="CT16" i="1"/>
  <c r="CU16" i="1"/>
  <c r="CV16" i="1"/>
  <c r="CW16" i="1"/>
  <c r="CX16" i="1"/>
  <c r="CY16" i="1"/>
  <c r="CZ16" i="1"/>
  <c r="DA16" i="1"/>
  <c r="DI16" i="1"/>
  <c r="DN16" i="1"/>
  <c r="DO16" i="1"/>
  <c r="DX16" i="1"/>
  <c r="DY16" i="1"/>
  <c r="DZ16" i="1"/>
  <c r="EA16" i="1"/>
  <c r="CS17" i="1"/>
  <c r="CT17" i="1"/>
  <c r="CU17" i="1"/>
  <c r="CV17" i="1"/>
  <c r="CW17" i="1"/>
  <c r="CX17" i="1"/>
  <c r="CY17" i="1"/>
  <c r="CZ17" i="1"/>
  <c r="DA17" i="1"/>
  <c r="DI17" i="1"/>
  <c r="DN17" i="1"/>
  <c r="DO17" i="1"/>
  <c r="DX17" i="1"/>
  <c r="DY17" i="1"/>
  <c r="DZ17" i="1"/>
  <c r="EA17" i="1"/>
  <c r="CS18" i="1"/>
  <c r="CT18" i="1"/>
  <c r="CU18" i="1"/>
  <c r="CV18" i="1"/>
  <c r="CW18" i="1"/>
  <c r="CX18" i="1"/>
  <c r="CY18" i="1"/>
  <c r="CZ18" i="1"/>
  <c r="DA18" i="1"/>
  <c r="DI18" i="1"/>
  <c r="DN18" i="1"/>
  <c r="DO18" i="1"/>
  <c r="DX18" i="1"/>
  <c r="DY18" i="1"/>
  <c r="DZ18" i="1"/>
  <c r="EA18" i="1"/>
  <c r="CS19" i="1"/>
  <c r="CT19" i="1"/>
  <c r="CU19" i="1"/>
  <c r="CV19" i="1"/>
  <c r="CW19" i="1"/>
  <c r="CX19" i="1"/>
  <c r="CY19" i="1"/>
  <c r="CZ19" i="1"/>
  <c r="DA19" i="1"/>
  <c r="DI19" i="1"/>
  <c r="DN19" i="1"/>
  <c r="DO19" i="1"/>
  <c r="DX19" i="1"/>
  <c r="DY19" i="1"/>
  <c r="DZ19" i="1"/>
  <c r="EA19" i="1"/>
  <c r="CS20" i="1"/>
  <c r="CT20" i="1"/>
  <c r="CU20" i="1"/>
  <c r="CV20" i="1"/>
  <c r="CW20" i="1"/>
  <c r="CX20" i="1"/>
  <c r="CY20" i="1"/>
  <c r="CZ20" i="1"/>
  <c r="DA20" i="1"/>
  <c r="DI20" i="1"/>
  <c r="DN20" i="1"/>
  <c r="DO20" i="1"/>
  <c r="DX20" i="1"/>
  <c r="DY20" i="1"/>
  <c r="DZ20" i="1"/>
  <c r="EA20" i="1"/>
  <c r="CS21" i="1"/>
  <c r="CT21" i="1"/>
  <c r="CU21" i="1"/>
  <c r="CV21" i="1"/>
  <c r="CW21" i="1"/>
  <c r="CX21" i="1"/>
  <c r="CY21" i="1"/>
  <c r="CZ21" i="1"/>
  <c r="DA21" i="1"/>
  <c r="DI21" i="1"/>
  <c r="DN21" i="1"/>
  <c r="DO21" i="1"/>
  <c r="DX21" i="1"/>
  <c r="DY21" i="1"/>
  <c r="DZ21" i="1"/>
  <c r="EA21" i="1"/>
  <c r="CS22" i="1"/>
  <c r="CT22" i="1"/>
  <c r="CU22" i="1"/>
  <c r="CV22" i="1"/>
  <c r="CW22" i="1"/>
  <c r="CX22" i="1"/>
  <c r="CY22" i="1"/>
  <c r="CZ22" i="1"/>
  <c r="DA22" i="1"/>
  <c r="DI22" i="1"/>
  <c r="DN22" i="1"/>
  <c r="DO22" i="1"/>
  <c r="DX22" i="1"/>
  <c r="DY22" i="1"/>
  <c r="DZ22" i="1"/>
  <c r="EA22" i="1"/>
  <c r="CS23" i="1"/>
  <c r="CT23" i="1"/>
  <c r="CU23" i="1"/>
  <c r="CV23" i="1"/>
  <c r="CW23" i="1"/>
  <c r="CX23" i="1"/>
  <c r="CY23" i="1"/>
  <c r="CZ23" i="1"/>
  <c r="DA23" i="1"/>
  <c r="DI23" i="1"/>
  <c r="DN23" i="1"/>
  <c r="DO23" i="1"/>
  <c r="DX23" i="1"/>
  <c r="DY23" i="1"/>
  <c r="DZ23" i="1"/>
  <c r="EA23" i="1"/>
  <c r="CS24" i="1"/>
  <c r="CT24" i="1"/>
  <c r="CU24" i="1"/>
  <c r="CV24" i="1"/>
  <c r="CW24" i="1"/>
  <c r="CX24" i="1"/>
  <c r="CY24" i="1"/>
  <c r="CZ24" i="1"/>
  <c r="DA24" i="1"/>
  <c r="DI24" i="1"/>
  <c r="DN24" i="1"/>
  <c r="DO24" i="1"/>
  <c r="DX24" i="1"/>
  <c r="DY24" i="1"/>
  <c r="DZ24" i="1"/>
  <c r="EA24" i="1"/>
  <c r="CS25" i="1"/>
  <c r="CT25" i="1"/>
  <c r="CU25" i="1"/>
  <c r="CV25" i="1"/>
  <c r="CW25" i="1"/>
  <c r="CX25" i="1"/>
  <c r="CY25" i="1"/>
  <c r="CZ25" i="1"/>
  <c r="DA25" i="1"/>
  <c r="DI25" i="1"/>
  <c r="DN25" i="1"/>
  <c r="DO25" i="1"/>
  <c r="DX25" i="1"/>
  <c r="DY25" i="1"/>
  <c r="DZ25" i="1"/>
  <c r="EA25" i="1"/>
  <c r="CS26" i="1"/>
  <c r="CT26" i="1"/>
  <c r="CU26" i="1"/>
  <c r="CV26" i="1"/>
  <c r="CW26" i="1"/>
  <c r="CX26" i="1"/>
  <c r="CY26" i="1"/>
  <c r="CZ26" i="1"/>
  <c r="DA26" i="1"/>
  <c r="DI26" i="1"/>
  <c r="DN26" i="1"/>
  <c r="DO26" i="1"/>
  <c r="DX26" i="1"/>
  <c r="DY26" i="1"/>
  <c r="DZ26" i="1"/>
  <c r="EA26" i="1"/>
  <c r="CS27" i="1"/>
  <c r="CT27" i="1"/>
  <c r="CU27" i="1"/>
  <c r="CV27" i="1"/>
  <c r="CW27" i="1"/>
  <c r="CX27" i="1"/>
  <c r="CY27" i="1"/>
  <c r="CZ27" i="1"/>
  <c r="DA27" i="1"/>
  <c r="DI27" i="1"/>
  <c r="DN27" i="1"/>
  <c r="DO27" i="1"/>
  <c r="DX27" i="1"/>
  <c r="DY27" i="1"/>
  <c r="DZ27" i="1"/>
  <c r="EA27" i="1"/>
  <c r="CS28" i="1"/>
  <c r="CT28" i="1"/>
  <c r="CU28" i="1"/>
  <c r="CV28" i="1"/>
  <c r="CW28" i="1"/>
  <c r="CX28" i="1"/>
  <c r="CY28" i="1"/>
  <c r="CZ28" i="1"/>
  <c r="DA28" i="1"/>
  <c r="DI28" i="1"/>
  <c r="DN28" i="1"/>
  <c r="DO28" i="1"/>
  <c r="DX28" i="1"/>
  <c r="DY28" i="1"/>
  <c r="DZ28" i="1"/>
  <c r="EA28" i="1"/>
  <c r="CS29" i="1"/>
  <c r="CT29" i="1"/>
  <c r="CU29" i="1"/>
  <c r="CV29" i="1"/>
  <c r="CW29" i="1"/>
  <c r="CX29" i="1"/>
  <c r="CY29" i="1"/>
  <c r="CZ29" i="1"/>
  <c r="DA29" i="1"/>
  <c r="DI29" i="1"/>
  <c r="DN29" i="1"/>
  <c r="DO29" i="1"/>
  <c r="DX29" i="1"/>
  <c r="DY29" i="1"/>
  <c r="DZ29" i="1"/>
  <c r="EA29" i="1"/>
  <c r="CS30" i="1"/>
  <c r="CT30" i="1"/>
  <c r="CU30" i="1"/>
  <c r="CV30" i="1"/>
  <c r="CW30" i="1"/>
  <c r="CX30" i="1"/>
  <c r="CY30" i="1"/>
  <c r="CZ30" i="1"/>
  <c r="DA30" i="1"/>
  <c r="DI30" i="1"/>
  <c r="DN30" i="1"/>
  <c r="DO30" i="1"/>
  <c r="DX30" i="1"/>
  <c r="DY30" i="1"/>
  <c r="DZ30" i="1"/>
  <c r="EA30" i="1"/>
  <c r="CS31" i="1"/>
  <c r="CT31" i="1"/>
  <c r="CU31" i="1"/>
  <c r="CV31" i="1"/>
  <c r="CW31" i="1"/>
  <c r="CX31" i="1"/>
  <c r="CY31" i="1"/>
  <c r="CZ31" i="1"/>
  <c r="DA31" i="1"/>
  <c r="DI31" i="1"/>
  <c r="DN31" i="1"/>
  <c r="DO31" i="1"/>
  <c r="DX31" i="1"/>
  <c r="DY31" i="1"/>
  <c r="DZ31" i="1"/>
  <c r="EA31" i="1"/>
  <c r="CS32" i="1"/>
  <c r="CT32" i="1"/>
  <c r="CU32" i="1"/>
  <c r="CV32" i="1"/>
  <c r="CW32" i="1"/>
  <c r="CX32" i="1"/>
  <c r="CY32" i="1"/>
  <c r="CZ32" i="1"/>
  <c r="DA32" i="1"/>
  <c r="DI32" i="1"/>
  <c r="DN32" i="1"/>
  <c r="DO32" i="1"/>
  <c r="DX32" i="1"/>
  <c r="DY32" i="1"/>
  <c r="DZ32" i="1"/>
  <c r="EA32" i="1"/>
  <c r="CS33" i="1"/>
  <c r="CT33" i="1"/>
  <c r="CU33" i="1"/>
  <c r="CV33" i="1"/>
  <c r="CW33" i="1"/>
  <c r="CX33" i="1"/>
  <c r="CY33" i="1"/>
  <c r="CZ33" i="1"/>
  <c r="DA33" i="1"/>
  <c r="DI33" i="1"/>
  <c r="DN33" i="1"/>
  <c r="DO33" i="1"/>
  <c r="DX33" i="1"/>
  <c r="DY33" i="1"/>
  <c r="DZ33" i="1"/>
  <c r="EA33" i="1"/>
  <c r="CS34" i="1"/>
  <c r="CT34" i="1"/>
  <c r="CU34" i="1"/>
  <c r="CV34" i="1"/>
  <c r="CW34" i="1"/>
  <c r="CX34" i="1"/>
  <c r="CY34" i="1"/>
  <c r="CZ34" i="1"/>
  <c r="DA34" i="1"/>
  <c r="DI34" i="1"/>
  <c r="DN34" i="1"/>
  <c r="DO34" i="1"/>
  <c r="DX34" i="1"/>
  <c r="DY34" i="1"/>
  <c r="DZ34" i="1"/>
  <c r="EA34" i="1"/>
  <c r="CS35" i="1"/>
  <c r="CT35" i="1"/>
  <c r="CU35" i="1"/>
  <c r="CV35" i="1"/>
  <c r="CW35" i="1"/>
  <c r="CX35" i="1"/>
  <c r="CY35" i="1"/>
  <c r="CZ35" i="1"/>
  <c r="DA35" i="1"/>
  <c r="DI35" i="1"/>
  <c r="DN35" i="1"/>
  <c r="DO35" i="1"/>
  <c r="DX35" i="1"/>
  <c r="DY35" i="1"/>
  <c r="DZ35" i="1"/>
  <c r="EA35" i="1"/>
  <c r="CS36" i="1"/>
  <c r="CT36" i="1"/>
  <c r="CU36" i="1"/>
  <c r="CV36" i="1"/>
  <c r="CW36" i="1"/>
  <c r="CX36" i="1"/>
  <c r="CY36" i="1"/>
  <c r="CZ36" i="1"/>
  <c r="DA36" i="1"/>
  <c r="DI36" i="1"/>
  <c r="DN36" i="1"/>
  <c r="DO36" i="1"/>
  <c r="DX36" i="1"/>
  <c r="DY36" i="1"/>
  <c r="DZ36" i="1"/>
  <c r="EA36" i="1"/>
  <c r="CS37" i="1"/>
  <c r="CT37" i="1"/>
  <c r="CU37" i="1"/>
  <c r="CV37" i="1"/>
  <c r="CW37" i="1"/>
  <c r="CX37" i="1"/>
  <c r="CY37" i="1"/>
  <c r="CZ37" i="1"/>
  <c r="DA37" i="1"/>
  <c r="DI37" i="1"/>
  <c r="DN37" i="1"/>
  <c r="DO37" i="1"/>
  <c r="DX37" i="1"/>
  <c r="DY37" i="1"/>
  <c r="DZ37" i="1"/>
  <c r="EA37" i="1"/>
  <c r="CS38" i="1"/>
  <c r="CT38" i="1"/>
  <c r="CU38" i="1"/>
  <c r="CV38" i="1"/>
  <c r="CW38" i="1"/>
  <c r="CX38" i="1"/>
  <c r="CY38" i="1"/>
  <c r="CZ38" i="1"/>
  <c r="DA38" i="1"/>
  <c r="DI38" i="1"/>
  <c r="DN38" i="1"/>
  <c r="DO38" i="1"/>
  <c r="DX38" i="1"/>
  <c r="DY38" i="1"/>
  <c r="DZ38" i="1"/>
  <c r="EA38" i="1"/>
  <c r="CS39" i="1"/>
  <c r="CT39" i="1"/>
  <c r="CU39" i="1"/>
  <c r="CV39" i="1"/>
  <c r="CW39" i="1"/>
  <c r="CX39" i="1"/>
  <c r="CY39" i="1"/>
  <c r="CZ39" i="1"/>
  <c r="DA39" i="1"/>
  <c r="DI39" i="1"/>
  <c r="DN39" i="1"/>
  <c r="DO39" i="1"/>
  <c r="DX39" i="1"/>
  <c r="DY39" i="1"/>
  <c r="DZ39" i="1"/>
  <c r="EA39" i="1"/>
  <c r="CS40" i="1"/>
  <c r="CT40" i="1"/>
  <c r="CU40" i="1"/>
  <c r="CV40" i="1"/>
  <c r="CW40" i="1"/>
  <c r="CX40" i="1"/>
  <c r="CY40" i="1"/>
  <c r="CZ40" i="1"/>
  <c r="DA40" i="1"/>
  <c r="DI40" i="1"/>
  <c r="DN40" i="1"/>
  <c r="DO40" i="1"/>
  <c r="DX40" i="1"/>
  <c r="DY40" i="1"/>
  <c r="DZ40" i="1"/>
  <c r="EA40" i="1"/>
  <c r="CS41" i="1"/>
  <c r="CT41" i="1"/>
  <c r="CU41" i="1"/>
  <c r="CV41" i="1"/>
  <c r="CW41" i="1"/>
  <c r="CX41" i="1"/>
  <c r="CY41" i="1"/>
  <c r="CZ41" i="1"/>
  <c r="DA41" i="1"/>
  <c r="DI41" i="1"/>
  <c r="DN41" i="1"/>
  <c r="DO41" i="1"/>
  <c r="DX41" i="1"/>
  <c r="DY41" i="1"/>
  <c r="DZ41" i="1"/>
  <c r="EA41" i="1"/>
  <c r="CS42" i="1"/>
  <c r="CT42" i="1"/>
  <c r="CU42" i="1"/>
  <c r="CV42" i="1"/>
  <c r="CW42" i="1"/>
  <c r="CX42" i="1"/>
  <c r="CY42" i="1"/>
  <c r="CZ42" i="1"/>
  <c r="DA42" i="1"/>
  <c r="DI42" i="1"/>
  <c r="DN42" i="1"/>
  <c r="DO42" i="1"/>
  <c r="DX42" i="1"/>
  <c r="DY42" i="1"/>
  <c r="DZ42" i="1"/>
  <c r="EA42" i="1"/>
  <c r="CS43" i="1"/>
  <c r="CT43" i="1"/>
  <c r="CU43" i="1"/>
  <c r="CV43" i="1"/>
  <c r="CW43" i="1"/>
  <c r="CX43" i="1"/>
  <c r="CY43" i="1"/>
  <c r="CZ43" i="1"/>
  <c r="DA43" i="1"/>
  <c r="DI43" i="1"/>
  <c r="DN43" i="1"/>
  <c r="DO43" i="1"/>
  <c r="DX43" i="1"/>
  <c r="DY43" i="1"/>
  <c r="DZ43" i="1"/>
  <c r="EA43" i="1"/>
  <c r="CS44" i="1"/>
  <c r="CT44" i="1"/>
  <c r="CU44" i="1"/>
  <c r="CV44" i="1"/>
  <c r="CW44" i="1"/>
  <c r="CX44" i="1"/>
  <c r="CY44" i="1"/>
  <c r="CZ44" i="1"/>
  <c r="DA44" i="1"/>
  <c r="DI44" i="1"/>
  <c r="DN44" i="1"/>
  <c r="DO44" i="1"/>
  <c r="DX44" i="1"/>
  <c r="DY44" i="1"/>
  <c r="DZ44" i="1"/>
  <c r="EA44" i="1"/>
  <c r="CS45" i="1"/>
  <c r="CT45" i="1"/>
  <c r="CU45" i="1"/>
  <c r="CV45" i="1"/>
  <c r="CW45" i="1"/>
  <c r="CX45" i="1"/>
  <c r="CY45" i="1"/>
  <c r="CZ45" i="1"/>
  <c r="DA45" i="1"/>
  <c r="DI45" i="1"/>
  <c r="DN45" i="1"/>
  <c r="DO45" i="1"/>
  <c r="DX45" i="1"/>
  <c r="DY45" i="1"/>
  <c r="DZ45" i="1"/>
  <c r="EA45" i="1"/>
  <c r="CS46" i="1"/>
  <c r="CT46" i="1"/>
  <c r="CU46" i="1"/>
  <c r="CV46" i="1"/>
  <c r="CW46" i="1"/>
  <c r="CX46" i="1"/>
  <c r="CY46" i="1"/>
  <c r="CZ46" i="1"/>
  <c r="DA46" i="1"/>
  <c r="DI46" i="1"/>
  <c r="DN46" i="1"/>
  <c r="DO46" i="1"/>
  <c r="DX46" i="1"/>
  <c r="DY46" i="1"/>
  <c r="DZ46" i="1"/>
  <c r="EA46" i="1"/>
  <c r="CS47" i="1"/>
  <c r="CT47" i="1"/>
  <c r="CU47" i="1"/>
  <c r="CV47" i="1"/>
  <c r="CW47" i="1"/>
  <c r="CX47" i="1"/>
  <c r="CY47" i="1"/>
  <c r="CZ47" i="1"/>
  <c r="DA47" i="1"/>
  <c r="DI47" i="1"/>
  <c r="DN47" i="1"/>
  <c r="DO47" i="1"/>
  <c r="DX47" i="1"/>
  <c r="DY47" i="1"/>
  <c r="DZ47" i="1"/>
  <c r="EA47" i="1"/>
  <c r="CS48" i="1"/>
  <c r="CT48" i="1"/>
  <c r="CU48" i="1"/>
  <c r="CV48" i="1"/>
  <c r="CW48" i="1"/>
  <c r="CX48" i="1"/>
  <c r="CY48" i="1"/>
  <c r="CZ48" i="1"/>
  <c r="DA48" i="1"/>
  <c r="DI48" i="1"/>
  <c r="DN48" i="1"/>
  <c r="DO48" i="1"/>
  <c r="DX48" i="1"/>
  <c r="DY48" i="1"/>
  <c r="DZ48" i="1"/>
  <c r="EA48" i="1"/>
  <c r="CS49" i="1"/>
  <c r="CT49" i="1"/>
  <c r="CU49" i="1"/>
  <c r="CV49" i="1"/>
  <c r="CW49" i="1"/>
  <c r="CX49" i="1"/>
  <c r="CY49" i="1"/>
  <c r="CZ49" i="1"/>
  <c r="DA49" i="1"/>
  <c r="DI49" i="1"/>
  <c r="DN49" i="1"/>
  <c r="DO49" i="1"/>
  <c r="DX49" i="1"/>
  <c r="DY49" i="1"/>
  <c r="DZ49" i="1"/>
  <c r="EA49" i="1"/>
  <c r="CS50" i="1"/>
  <c r="CT50" i="1"/>
  <c r="CU50" i="1"/>
  <c r="CV50" i="1"/>
  <c r="CW50" i="1"/>
  <c r="CX50" i="1"/>
  <c r="CY50" i="1"/>
  <c r="CZ50" i="1"/>
  <c r="DA50" i="1"/>
  <c r="DI50" i="1"/>
  <c r="DN50" i="1"/>
  <c r="DO50" i="1"/>
  <c r="DX50" i="1"/>
  <c r="DY50" i="1"/>
  <c r="DZ50" i="1"/>
  <c r="EA50" i="1"/>
  <c r="CS51" i="1"/>
  <c r="CT51" i="1"/>
  <c r="CU51" i="1"/>
  <c r="CV51" i="1"/>
  <c r="CW51" i="1"/>
  <c r="CX51" i="1"/>
  <c r="CY51" i="1"/>
  <c r="CZ51" i="1"/>
  <c r="DA51" i="1"/>
  <c r="DI51" i="1"/>
  <c r="DN51" i="1"/>
  <c r="DO51" i="1"/>
  <c r="DX51" i="1"/>
  <c r="DY51" i="1"/>
  <c r="DZ51" i="1"/>
  <c r="EA51" i="1"/>
  <c r="CS52" i="1"/>
  <c r="CT52" i="1"/>
  <c r="CU52" i="1"/>
  <c r="CV52" i="1"/>
  <c r="CW52" i="1"/>
  <c r="CX52" i="1"/>
  <c r="CY52" i="1"/>
  <c r="CZ52" i="1"/>
  <c r="DA52" i="1"/>
  <c r="DI52" i="1"/>
  <c r="DN52" i="1"/>
  <c r="DO52" i="1"/>
  <c r="DX52" i="1"/>
  <c r="DY52" i="1"/>
  <c r="DZ52" i="1"/>
  <c r="EA52" i="1"/>
  <c r="CS53" i="1"/>
  <c r="CT53" i="1"/>
  <c r="CU53" i="1"/>
  <c r="CV53" i="1"/>
  <c r="CW53" i="1"/>
  <c r="CX53" i="1"/>
  <c r="CY53" i="1"/>
  <c r="CZ53" i="1"/>
  <c r="DA53" i="1"/>
  <c r="DI53" i="1"/>
  <c r="DN53" i="1"/>
  <c r="DO53" i="1"/>
  <c r="DX53" i="1"/>
  <c r="DY53" i="1"/>
  <c r="DZ53" i="1"/>
  <c r="EA53" i="1"/>
  <c r="CS54" i="1"/>
  <c r="CT54" i="1"/>
  <c r="CU54" i="1"/>
  <c r="CV54" i="1"/>
  <c r="CW54" i="1"/>
  <c r="CX54" i="1"/>
  <c r="CY54" i="1"/>
  <c r="CZ54" i="1"/>
  <c r="DA54" i="1"/>
  <c r="DI54" i="1"/>
  <c r="DN54" i="1"/>
  <c r="DO54" i="1"/>
  <c r="DX54" i="1"/>
  <c r="DY54" i="1"/>
  <c r="DZ54" i="1"/>
  <c r="EA54" i="1"/>
  <c r="CS55" i="1"/>
  <c r="CT55" i="1"/>
  <c r="CU55" i="1"/>
  <c r="CV55" i="1"/>
  <c r="CW55" i="1"/>
  <c r="CX55" i="1"/>
  <c r="CY55" i="1"/>
  <c r="CZ55" i="1"/>
  <c r="DA55" i="1"/>
  <c r="DI55" i="1"/>
  <c r="DN55" i="1"/>
  <c r="DO55" i="1"/>
  <c r="DX55" i="1"/>
  <c r="DY55" i="1"/>
  <c r="DZ55" i="1"/>
  <c r="EA55" i="1"/>
  <c r="CS56" i="1"/>
  <c r="CT56" i="1"/>
  <c r="CU56" i="1"/>
  <c r="CV56" i="1"/>
  <c r="CW56" i="1"/>
  <c r="CX56" i="1"/>
  <c r="CY56" i="1"/>
  <c r="CZ56" i="1"/>
  <c r="DA56" i="1"/>
  <c r="DI56" i="1"/>
  <c r="DN56" i="1"/>
  <c r="DO56" i="1"/>
  <c r="DX56" i="1"/>
  <c r="DY56" i="1"/>
  <c r="DZ56" i="1"/>
  <c r="EA56" i="1"/>
  <c r="CS57" i="1"/>
  <c r="CT57" i="1"/>
  <c r="CU57" i="1"/>
  <c r="CV57" i="1"/>
  <c r="CW57" i="1"/>
  <c r="CX57" i="1"/>
  <c r="CY57" i="1"/>
  <c r="CZ57" i="1"/>
  <c r="DA57" i="1"/>
  <c r="DI57" i="1"/>
  <c r="DN57" i="1"/>
  <c r="DO57" i="1"/>
  <c r="DX57" i="1"/>
  <c r="DY57" i="1"/>
  <c r="DZ57" i="1"/>
  <c r="EA57" i="1"/>
  <c r="CS58" i="1"/>
  <c r="CT58" i="1"/>
  <c r="CU58" i="1"/>
  <c r="CV58" i="1"/>
  <c r="CW58" i="1"/>
  <c r="CX58" i="1"/>
  <c r="CY58" i="1"/>
  <c r="CZ58" i="1"/>
  <c r="DA58" i="1"/>
  <c r="DI58" i="1"/>
  <c r="DN58" i="1"/>
  <c r="DO58" i="1"/>
  <c r="DX58" i="1"/>
  <c r="DY58" i="1"/>
  <c r="DZ58" i="1"/>
  <c r="EA58" i="1"/>
  <c r="CS59" i="1"/>
  <c r="CT59" i="1"/>
  <c r="CU59" i="1"/>
  <c r="CV59" i="1"/>
  <c r="CW59" i="1"/>
  <c r="CX59" i="1"/>
  <c r="CY59" i="1"/>
  <c r="CZ59" i="1"/>
  <c r="DA59" i="1"/>
  <c r="DI59" i="1"/>
  <c r="DN59" i="1"/>
  <c r="DO59" i="1"/>
  <c r="DX59" i="1"/>
  <c r="DY59" i="1"/>
  <c r="DZ59" i="1"/>
  <c r="EA59" i="1"/>
  <c r="CS60" i="1"/>
  <c r="CT60" i="1"/>
  <c r="CU60" i="1"/>
  <c r="CV60" i="1"/>
  <c r="CW60" i="1"/>
  <c r="CX60" i="1"/>
  <c r="CY60" i="1"/>
  <c r="CZ60" i="1"/>
  <c r="DA60" i="1"/>
  <c r="DI60" i="1"/>
  <c r="DN60" i="1"/>
  <c r="DO60" i="1"/>
  <c r="DX60" i="1"/>
  <c r="DY60" i="1"/>
  <c r="DZ60" i="1"/>
  <c r="EA60" i="1"/>
  <c r="CS61" i="1"/>
  <c r="CT61" i="1"/>
  <c r="CU61" i="1"/>
  <c r="CV61" i="1"/>
  <c r="CW61" i="1"/>
  <c r="CX61" i="1"/>
  <c r="CY61" i="1"/>
  <c r="CZ61" i="1"/>
  <c r="DA61" i="1"/>
  <c r="DI61" i="1"/>
  <c r="DN61" i="1"/>
  <c r="DO61" i="1"/>
  <c r="DX61" i="1"/>
  <c r="DY61" i="1"/>
  <c r="DZ61" i="1"/>
  <c r="EA61" i="1"/>
  <c r="CS62" i="1"/>
  <c r="CT62" i="1"/>
  <c r="CU62" i="1"/>
  <c r="CV62" i="1"/>
  <c r="CW62" i="1"/>
  <c r="CX62" i="1"/>
  <c r="CY62" i="1"/>
  <c r="CZ62" i="1"/>
  <c r="DA62" i="1"/>
  <c r="DI62" i="1"/>
  <c r="DN62" i="1"/>
  <c r="DO62" i="1"/>
  <c r="DX62" i="1"/>
  <c r="DY62" i="1"/>
  <c r="DZ62" i="1"/>
  <c r="EA62" i="1"/>
  <c r="CS63" i="1"/>
  <c r="CT63" i="1"/>
  <c r="CU63" i="1"/>
  <c r="CV63" i="1"/>
  <c r="CW63" i="1"/>
  <c r="CX63" i="1"/>
  <c r="CY63" i="1"/>
  <c r="CZ63" i="1"/>
  <c r="DA63" i="1"/>
  <c r="DI63" i="1"/>
  <c r="DN63" i="1"/>
  <c r="DO63" i="1"/>
  <c r="DX63" i="1"/>
  <c r="DY63" i="1"/>
  <c r="DZ63" i="1"/>
  <c r="EA63" i="1"/>
  <c r="CS64" i="1"/>
  <c r="CT64" i="1"/>
  <c r="CU64" i="1"/>
  <c r="CV64" i="1"/>
  <c r="CW64" i="1"/>
  <c r="CX64" i="1"/>
  <c r="CY64" i="1"/>
  <c r="CZ64" i="1"/>
  <c r="DA64" i="1"/>
  <c r="DI64" i="1"/>
  <c r="DN64" i="1"/>
  <c r="DO64" i="1"/>
  <c r="DX64" i="1"/>
  <c r="DY64" i="1"/>
  <c r="DZ64" i="1"/>
  <c r="EA64" i="1"/>
  <c r="K3" i="3"/>
  <c r="L3" i="3"/>
  <c r="M3" i="3"/>
  <c r="N3" i="3"/>
  <c r="O3" i="3"/>
  <c r="P3" i="3"/>
  <c r="Q3" i="3"/>
  <c r="R3" i="3"/>
  <c r="S3" i="3"/>
  <c r="AA3" i="3"/>
  <c r="K4" i="3"/>
  <c r="L4" i="3"/>
  <c r="M4" i="3"/>
  <c r="N4" i="3"/>
  <c r="O4" i="3"/>
  <c r="P4" i="3"/>
  <c r="Q4" i="3"/>
  <c r="R4" i="3"/>
  <c r="S4" i="3"/>
  <c r="AA4" i="3"/>
  <c r="K5" i="3"/>
  <c r="L5" i="3"/>
  <c r="M5" i="3"/>
  <c r="N5" i="3"/>
  <c r="O5" i="3"/>
  <c r="P5" i="3"/>
  <c r="Q5" i="3"/>
  <c r="R5" i="3"/>
  <c r="S5" i="3"/>
  <c r="AA5" i="3"/>
  <c r="K6" i="3"/>
  <c r="L6" i="3"/>
  <c r="M6" i="3"/>
  <c r="N6" i="3"/>
  <c r="O6" i="3"/>
  <c r="P6" i="3"/>
  <c r="Q6" i="3"/>
  <c r="R6" i="3"/>
  <c r="S6" i="3"/>
  <c r="AA6" i="3"/>
</calcChain>
</file>

<file path=xl/sharedStrings.xml><?xml version="1.0" encoding="utf-8"?>
<sst xmlns="http://schemas.openxmlformats.org/spreadsheetml/2006/main" count="289" uniqueCount="131">
  <si>
    <t>Ввести номера исходной и целевой СК в соответствии с таблицей наборов параметров. Ввести координаты и геодезическую высоту точки в исходной плоской прямоугольной СК. Промежуточные итоги: широта и долгота точки в исходной СК; пространственные прямоугольные координаты точки в исходной СК; пространственные прямоугольные координаты точки в WGS-84. Окончательные итоги: пространственные прямоугольные координаты точки в целевой СК; широта, догота и геодезическая высота точки в целевой СК; плоские прямоугольные координаты точки в целевой СК.</t>
  </si>
  <si>
    <t>Наборы параметров могут быть дополнены пользователем. Необходимо вводить параметры преобразования СК в WGS-84, поскольку перевычисление проводится через эту СК.</t>
  </si>
  <si>
    <t>Внимание! Для корректного выполнения вычислений в Excel должны быть включены итерации (диалоговое окно "Параметры Excel", вкладка "Вычисления", для Excel 2007 - "Формулы"). При неудовлетворительном результате можно попытаться увеличить предельное число итераций и (или) уменьшить относительную погрешность. При возникновении ошибки #НД необходимо отобразить столбец CU (заголовок s2), войти в редактирование ячейки и, не изменяя содержимое, нажать Enter.</t>
  </si>
  <si>
    <t>Номер исходной СК:</t>
  </si>
  <si>
    <t>Номер целевой СК:</t>
  </si>
  <si>
    <t>Наборы параметров</t>
  </si>
  <si>
    <t>№</t>
  </si>
  <si>
    <t>название</t>
  </si>
  <si>
    <t>a, м</t>
  </si>
  <si>
    <t>alpha</t>
  </si>
  <si>
    <t>DX, м</t>
  </si>
  <si>
    <t>DY, м</t>
  </si>
  <si>
    <t>DZ, м</t>
  </si>
  <si>
    <t>rX"</t>
  </si>
  <si>
    <t>rY"</t>
  </si>
  <si>
    <t>rZ"</t>
  </si>
  <si>
    <r>
      <t>dm*10</t>
    </r>
    <r>
      <rPr>
        <vertAlign val="superscript"/>
        <sz val="10"/>
        <color indexed="8"/>
        <rFont val="Calibri"/>
        <family val="2"/>
        <charset val="204"/>
      </rPr>
      <t>6</t>
    </r>
  </si>
  <si>
    <t>L0*</t>
  </si>
  <si>
    <t>B0*</t>
  </si>
  <si>
    <t>m</t>
  </si>
  <si>
    <t>zone</t>
  </si>
  <si>
    <t>false Y, м</t>
  </si>
  <si>
    <t>false X, м</t>
  </si>
  <si>
    <t>Примечание</t>
  </si>
  <si>
    <t>x</t>
  </si>
  <si>
    <t>y</t>
  </si>
  <si>
    <t>H</t>
  </si>
  <si>
    <t>false x</t>
  </si>
  <si>
    <t>false y</t>
  </si>
  <si>
    <t>n</t>
  </si>
  <si>
    <t>x приведен</t>
  </si>
  <si>
    <t>y приведен</t>
  </si>
  <si>
    <t>L0</t>
  </si>
  <si>
    <t>a</t>
  </si>
  <si>
    <t>b</t>
  </si>
  <si>
    <t>e2</t>
  </si>
  <si>
    <t>e'2</t>
  </si>
  <si>
    <t>N</t>
  </si>
  <si>
    <t>Bx</t>
  </si>
  <si>
    <t>A0</t>
  </si>
  <si>
    <t>A2</t>
  </si>
  <si>
    <t>A4</t>
  </si>
  <si>
    <t>A6</t>
  </si>
  <si>
    <t>A_0</t>
  </si>
  <si>
    <t>A_2</t>
  </si>
  <si>
    <t>A_4</t>
  </si>
  <si>
    <t>A_6</t>
  </si>
  <si>
    <t>Nx</t>
  </si>
  <si>
    <t>nu x</t>
  </si>
  <si>
    <t>tx</t>
  </si>
  <si>
    <t>k0</t>
  </si>
  <si>
    <t>B рад</t>
  </si>
  <si>
    <t>B*</t>
  </si>
  <si>
    <t>B'</t>
  </si>
  <si>
    <t>B"</t>
  </si>
  <si>
    <t>B*.***</t>
  </si>
  <si>
    <t>l</t>
  </si>
  <si>
    <t>L рад</t>
  </si>
  <si>
    <t>L*.***</t>
  </si>
  <si>
    <t>L *</t>
  </si>
  <si>
    <t>L'</t>
  </si>
  <si>
    <t>L"</t>
  </si>
  <si>
    <t>X1</t>
  </si>
  <si>
    <t>Y1</t>
  </si>
  <si>
    <t>Z1</t>
  </si>
  <si>
    <t>DX</t>
  </si>
  <si>
    <t>DY</t>
  </si>
  <si>
    <t>DZ</t>
  </si>
  <si>
    <t>rX рад</t>
  </si>
  <si>
    <t>rY рад</t>
  </si>
  <si>
    <t>rZ рад</t>
  </si>
  <si>
    <t>dm*106</t>
  </si>
  <si>
    <t>X WGS</t>
  </si>
  <si>
    <t>Y WGS</t>
  </si>
  <si>
    <t>Z WGS</t>
  </si>
  <si>
    <t>X2</t>
  </si>
  <si>
    <t>Y2</t>
  </si>
  <si>
    <t>Z2</t>
  </si>
  <si>
    <t>D</t>
  </si>
  <si>
    <t>r</t>
  </si>
  <si>
    <t>c</t>
  </si>
  <si>
    <t>p</t>
  </si>
  <si>
    <t>s1</t>
  </si>
  <si>
    <t>s2</t>
  </si>
  <si>
    <t>d</t>
  </si>
  <si>
    <t>L test0</t>
  </si>
  <si>
    <t>nu2</t>
  </si>
  <si>
    <t>G0</t>
  </si>
  <si>
    <t>G1</t>
  </si>
  <si>
    <t>G2</t>
  </si>
  <si>
    <t>G3</t>
  </si>
  <si>
    <t>x'</t>
  </si>
  <si>
    <t>y'</t>
  </si>
  <si>
    <t>СК-42 зона 7</t>
  </si>
  <si>
    <t>Параметры ГОСТ Р 51794-2008</t>
  </si>
  <si>
    <t>СК-95 зона 7</t>
  </si>
  <si>
    <t>Параметры ГОСТ Р 51794-2008. Связь с Пулково1942 неточная</t>
  </si>
  <si>
    <t>СК-63 район P зона 2</t>
  </si>
  <si>
    <t>СК-63 район P зона 3</t>
  </si>
  <si>
    <t>МСК-50 зона 1</t>
  </si>
  <si>
    <t>МСК-50 зона 2</t>
  </si>
  <si>
    <t>UTM зона 37 (WGS 84)</t>
  </si>
  <si>
    <t>ПЗ-90.02</t>
  </si>
  <si>
    <t>ГОСТ Р 51794-2008. Приведены параметры условной проекции.</t>
  </si>
  <si>
    <t>ПЗ-90</t>
  </si>
  <si>
    <t>Параметры ГОСТ Р 51794-2008. Параметры проекции изменены</t>
  </si>
  <si>
    <t>Ввести геодезические координаты и геодезическую высоту точки, номер эллипсоида в соответствии со списком (список может быть дополнен). Итог - пространственные прямоугольные координаты этой точки.</t>
  </si>
  <si>
    <t>№ эллипсоида</t>
  </si>
  <si>
    <t>L*</t>
  </si>
  <si>
    <t>H элл</t>
  </si>
  <si>
    <t>X</t>
  </si>
  <si>
    <t>Y</t>
  </si>
  <si>
    <t>Z</t>
  </si>
  <si>
    <t>Список эллипсоидов</t>
  </si>
  <si>
    <t>имя</t>
  </si>
  <si>
    <t>Красовского</t>
  </si>
  <si>
    <t>GRS80 (WGS-84)</t>
  </si>
  <si>
    <t>Бесселя 1841</t>
  </si>
  <si>
    <t>Ввести пространственные прямоугольные координаты точки. Итог - геодезические координаты и геодезическая высота этой точки на эллипсоиде с заданными большой полуосью и сжатием.</t>
  </si>
  <si>
    <t>Ввести пространственные прямоугольные координаты точки в 1 системе координат и известные параметры перехода (преобразование Бурса-Вольфа, 7 параметров). Итог - пространственные прямоугольные координаты точки во 2 системе.</t>
  </si>
  <si>
    <r>
      <t>m*10</t>
    </r>
    <r>
      <rPr>
        <vertAlign val="superscript"/>
        <sz val="11"/>
        <color indexed="8"/>
        <rFont val="Calibri"/>
        <family val="2"/>
        <charset val="204"/>
      </rPr>
      <t>6</t>
    </r>
  </si>
  <si>
    <t>Ввести номер СК в соответствии с таблицей наборов параметров. Ввести широту и долготу точки. Итоги: плоские прямоугольные координаты точки в заданной СК.</t>
  </si>
  <si>
    <t>Наборы параметров эллипсоида и проекции могут быть дополнены пользователем.</t>
  </si>
  <si>
    <t>Номер СК:</t>
  </si>
  <si>
    <t>Реализована связь между различными системами пространственных прямоугольных координат, геодезических координат, системами плоских прямоугольных координат в поперечной проекции Меркатора (проекция Гаусса-Крюгера, система координат UTM).</t>
  </si>
  <si>
    <t>Зеленым цветом помечены ячейки для ввода исходных данных.</t>
  </si>
  <si>
    <t>Красным цветом помечены ячейки с итоговыми значениями.</t>
  </si>
  <si>
    <t>Ячейки с промежуточными данными скрыты.</t>
  </si>
  <si>
    <t>Для вычисления данных для нескольких точек необходимо предварительно скопировать вниз все ячейки из первой строки (включая скрытые).</t>
  </si>
  <si>
    <t>Версия 1.1: исправлена ошибка при вычислении координат при масштабном коэффициенте проекции не равном 1.</t>
  </si>
  <si>
    <t>Во избежание проблем, связанных с сохранением государственной тайны, параметры проекций искажены.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</si>
</sst>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0000000"/>
    <numFmt numFmtId="166" formatCode="0.000000"/>
    <numFmt numFmtId="167" formatCode="0.00000"/>
    <numFmt numFmtId="168" formatCode="0.0000"/>
    <numFmt numFmtId="169" formatCode="0.0000000000"/>
    <numFmt numFmtId="170" formatCode="0.00000000"/>
    <numFmt numFmtId="171" formatCode="0.0"/>
    <numFmt numFmtId="172" formatCode="0.0000000"/>
  </numFmts>
  <fonts count="8" x14ac:knownFonts="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vertAlign val="superscript"/>
      <sz val="10"/>
      <color indexed="8"/>
      <name val="Calibri"/>
      <family val="2"/>
      <charset val="204"/>
    </font>
    <font>
      <sz val="10"/>
      <color indexed="8"/>
      <name val="Arial Unicode MS"/>
      <family val="2"/>
      <charset val="204"/>
    </font>
    <font>
      <sz val="12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vertAlign val="superscript"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4" xfId="0" applyFont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6" fontId="2" fillId="2" borderId="1" xfId="0" applyNumberFormat="1" applyFont="1" applyFill="1" applyBorder="1"/>
    <xf numFmtId="167" fontId="2" fillId="2" borderId="1" xfId="0" applyNumberFormat="1" applyFont="1" applyFill="1" applyBorder="1"/>
    <xf numFmtId="168" fontId="2" fillId="2" borderId="1" xfId="0" applyNumberFormat="1" applyFont="1" applyFill="1" applyBorder="1"/>
    <xf numFmtId="0" fontId="2" fillId="2" borderId="7" xfId="0" applyFont="1" applyFill="1" applyBorder="1"/>
    <xf numFmtId="0" fontId="0" fillId="2" borderId="1" xfId="0" applyFill="1" applyBorder="1"/>
    <xf numFmtId="0" fontId="2" fillId="2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2" fontId="2" fillId="3" borderId="10" xfId="0" applyNumberFormat="1" applyFont="1" applyFill="1" applyBorder="1"/>
    <xf numFmtId="0" fontId="2" fillId="0" borderId="10" xfId="0" applyFont="1" applyFill="1" applyBorder="1"/>
    <xf numFmtId="169" fontId="2" fillId="0" borderId="10" xfId="0" applyNumberFormat="1" applyFont="1" applyFill="1" applyBorder="1"/>
    <xf numFmtId="164" fontId="2" fillId="0" borderId="10" xfId="0" applyNumberFormat="1" applyFont="1" applyFill="1" applyBorder="1"/>
    <xf numFmtId="0" fontId="2" fillId="0" borderId="11" xfId="0" applyFont="1" applyFill="1" applyBorder="1"/>
    <xf numFmtId="0" fontId="2" fillId="4" borderId="7" xfId="0" applyFont="1" applyFill="1" applyBorder="1"/>
    <xf numFmtId="0" fontId="2" fillId="4" borderId="10" xfId="0" applyFont="1" applyFill="1" applyBorder="1"/>
    <xf numFmtId="168" fontId="2" fillId="4" borderId="10" xfId="0" applyNumberFormat="1" applyFont="1" applyFill="1" applyBorder="1"/>
    <xf numFmtId="1" fontId="2" fillId="4" borderId="10" xfId="0" applyNumberFormat="1" applyFont="1" applyFill="1" applyBorder="1"/>
    <xf numFmtId="168" fontId="2" fillId="4" borderId="8" xfId="0" applyNumberFormat="1" applyFont="1" applyFill="1" applyBorder="1"/>
    <xf numFmtId="164" fontId="2" fillId="4" borderId="7" xfId="0" applyNumberFormat="1" applyFont="1" applyFill="1" applyBorder="1"/>
    <xf numFmtId="164" fontId="2" fillId="4" borderId="10" xfId="0" applyNumberFormat="1" applyFont="1" applyFill="1" applyBorder="1"/>
    <xf numFmtId="164" fontId="2" fillId="4" borderId="8" xfId="0" applyNumberFormat="1" applyFont="1" applyFill="1" applyBorder="1"/>
    <xf numFmtId="0" fontId="2" fillId="3" borderId="11" xfId="0" applyFont="1" applyFill="1" applyBorder="1"/>
    <xf numFmtId="0" fontId="2" fillId="4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165" fontId="2" fillId="0" borderId="10" xfId="0" applyNumberFormat="1" applyFont="1" applyBorder="1"/>
    <xf numFmtId="0" fontId="2" fillId="0" borderId="11" xfId="0" applyFont="1" applyBorder="1"/>
    <xf numFmtId="170" fontId="2" fillId="3" borderId="10" xfId="0" applyNumberFormat="1" applyFont="1" applyFill="1" applyBorder="1"/>
    <xf numFmtId="2" fontId="2" fillId="0" borderId="10" xfId="0" applyNumberFormat="1" applyFont="1" applyFill="1" applyBorder="1"/>
    <xf numFmtId="171" fontId="2" fillId="4" borderId="7" xfId="0" applyNumberFormat="1" applyFont="1" applyFill="1" applyBorder="1"/>
    <xf numFmtId="171" fontId="2" fillId="4" borderId="8" xfId="0" applyNumberFormat="1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3" borderId="14" xfId="0" applyFont="1" applyFill="1" applyBorder="1"/>
    <xf numFmtId="169" fontId="2" fillId="0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5" xfId="0" applyFont="1" applyFill="1" applyBorder="1"/>
    <xf numFmtId="0" fontId="2" fillId="4" borderId="12" xfId="0" applyFont="1" applyFill="1" applyBorder="1"/>
    <xf numFmtId="0" fontId="2" fillId="4" borderId="1" xfId="0" applyFont="1" applyFill="1" applyBorder="1"/>
    <xf numFmtId="168" fontId="2" fillId="4" borderId="1" xfId="0" applyNumberFormat="1" applyFont="1" applyFill="1" applyBorder="1"/>
    <xf numFmtId="1" fontId="2" fillId="4" borderId="1" xfId="0" applyNumberFormat="1" applyFont="1" applyFill="1" applyBorder="1"/>
    <xf numFmtId="168" fontId="2" fillId="4" borderId="13" xfId="0" applyNumberFormat="1" applyFont="1" applyFill="1" applyBorder="1"/>
    <xf numFmtId="164" fontId="2" fillId="4" borderId="12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0" fontId="2" fillId="3" borderId="15" xfId="0" applyFont="1" applyFill="1" applyBorder="1"/>
    <xf numFmtId="0" fontId="2" fillId="4" borderId="13" xfId="0" applyFont="1" applyFill="1" applyBorder="1"/>
    <xf numFmtId="0" fontId="2" fillId="0" borderId="14" xfId="0" applyFont="1" applyBorder="1"/>
    <xf numFmtId="165" fontId="2" fillId="0" borderId="1" xfId="0" applyNumberFormat="1" applyFont="1" applyBorder="1"/>
    <xf numFmtId="0" fontId="2" fillId="0" borderId="15" xfId="0" applyFont="1" applyBorder="1"/>
    <xf numFmtId="170" fontId="2" fillId="3" borderId="1" xfId="0" applyNumberFormat="1" applyFont="1" applyFill="1" applyBorder="1"/>
    <xf numFmtId="2" fontId="2" fillId="3" borderId="1" xfId="0" applyNumberFormat="1" applyFont="1" applyFill="1" applyBorder="1"/>
    <xf numFmtId="2" fontId="2" fillId="0" borderId="1" xfId="0" applyNumberFormat="1" applyFont="1" applyFill="1" applyBorder="1"/>
    <xf numFmtId="171" fontId="2" fillId="4" borderId="12" xfId="0" applyNumberFormat="1" applyFont="1" applyFill="1" applyBorder="1"/>
    <xf numFmtId="171" fontId="2" fillId="4" borderId="13" xfId="0" applyNumberFormat="1" applyFont="1" applyFill="1" applyBorder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167" fontId="5" fillId="0" borderId="0" xfId="0" applyNumberFormat="1" applyFont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/>
    <xf numFmtId="0" fontId="6" fillId="0" borderId="16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left" wrapText="1"/>
    </xf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168" fontId="6" fillId="2" borderId="1" xfId="0" applyNumberFormat="1" applyFont="1" applyFill="1" applyBorder="1"/>
    <xf numFmtId="164" fontId="6" fillId="2" borderId="1" xfId="0" applyNumberFormat="1" applyFont="1" applyFill="1" applyBorder="1"/>
    <xf numFmtId="164" fontId="6" fillId="4" borderId="1" xfId="0" applyNumberFormat="1" applyFont="1" applyFill="1" applyBorder="1"/>
    <xf numFmtId="0" fontId="6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2" fontId="6" fillId="2" borderId="1" xfId="0" applyNumberFormat="1" applyFont="1" applyFill="1" applyBorder="1"/>
    <xf numFmtId="172" fontId="6" fillId="2" borderId="1" xfId="0" applyNumberFormat="1" applyFont="1" applyFill="1" applyBorder="1"/>
    <xf numFmtId="164" fontId="6" fillId="0" borderId="0" xfId="0" applyNumberFormat="1" applyFont="1"/>
    <xf numFmtId="1" fontId="6" fillId="2" borderId="1" xfId="0" applyNumberFormat="1" applyFont="1" applyFill="1" applyBorder="1"/>
    <xf numFmtId="170" fontId="6" fillId="2" borderId="1" xfId="0" applyNumberFormat="1" applyFont="1" applyFill="1" applyBorder="1"/>
    <xf numFmtId="0" fontId="6" fillId="4" borderId="1" xfId="0" applyFont="1" applyFill="1" applyBorder="1"/>
    <xf numFmtId="168" fontId="6" fillId="4" borderId="1" xfId="0" applyNumberFormat="1" applyFont="1" applyFill="1" applyBorder="1"/>
    <xf numFmtId="0" fontId="0" fillId="0" borderId="1" xfId="0" applyBorder="1"/>
    <xf numFmtId="164" fontId="0" fillId="2" borderId="1" xfId="0" applyNumberFormat="1" applyFill="1" applyBorder="1"/>
    <xf numFmtId="168" fontId="0" fillId="2" borderId="1" xfId="0" applyNumberFormat="1" applyFill="1" applyBorder="1"/>
    <xf numFmtId="11" fontId="0" fillId="2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/>
    <xf numFmtId="0" fontId="2" fillId="2" borderId="10" xfId="0" applyFont="1" applyFill="1" applyBorder="1"/>
    <xf numFmtId="168" fontId="2" fillId="2" borderId="10" xfId="0" applyNumberFormat="1" applyFont="1" applyFill="1" applyBorder="1"/>
    <xf numFmtId="0" fontId="6" fillId="0" borderId="0" xfId="0" applyFont="1" applyAlignment="1">
      <alignment wrapText="1"/>
    </xf>
    <xf numFmtId="0" fontId="6" fillId="0" borderId="16" xfId="0" applyFont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sqref="A1:P1"/>
    </sheetView>
  </sheetViews>
  <sheetFormatPr defaultRowHeight="12.75" x14ac:dyDescent="0.2"/>
  <cols>
    <col min="1" max="1" width="3.140625" style="87" bestFit="1" customWidth="1"/>
    <col min="2" max="2" width="3" style="87" bestFit="1" customWidth="1"/>
    <col min="3" max="3" width="7.5703125" style="87" bestFit="1" customWidth="1"/>
    <col min="4" max="4" width="6" style="87" hidden="1" customWidth="1"/>
    <col min="5" max="5" width="12" style="87" hidden="1" customWidth="1"/>
    <col min="6" max="6" width="4" style="87" bestFit="1" customWidth="1"/>
    <col min="7" max="7" width="3" style="87" bestFit="1" customWidth="1"/>
    <col min="8" max="8" width="7.5703125" style="87" bestFit="1" customWidth="1"/>
    <col min="9" max="10" width="12" style="87" hidden="1" customWidth="1"/>
    <col min="11" max="11" width="7.5703125" style="87" bestFit="1" customWidth="1"/>
    <col min="12" max="12" width="8" style="87" hidden="1" customWidth="1"/>
    <col min="13" max="13" width="11" style="87" hidden="1" customWidth="1"/>
    <col min="14" max="15" width="12" style="87" hidden="1" customWidth="1"/>
    <col min="16" max="16" width="11.5703125" style="87" bestFit="1" customWidth="1"/>
    <col min="17" max="17" width="12.28515625" style="87" bestFit="1" customWidth="1"/>
    <col min="18" max="18" width="11.5703125" style="87" bestFit="1" customWidth="1"/>
    <col min="19" max="20" width="9.140625" style="87"/>
    <col min="21" max="21" width="16" style="87" bestFit="1" customWidth="1"/>
    <col min="22" max="22" width="10.5703125" style="87" bestFit="1" customWidth="1"/>
    <col min="23" max="23" width="9.5703125" style="87" bestFit="1" customWidth="1"/>
    <col min="24" max="256" width="9.140625" style="87"/>
    <col min="257" max="257" width="3.140625" style="87" bestFit="1" customWidth="1"/>
    <col min="258" max="258" width="3" style="87" bestFit="1" customWidth="1"/>
    <col min="259" max="259" width="7.5703125" style="87" bestFit="1" customWidth="1"/>
    <col min="260" max="261" width="0" style="87" hidden="1" customWidth="1"/>
    <col min="262" max="262" width="4" style="87" bestFit="1" customWidth="1"/>
    <col min="263" max="263" width="3" style="87" bestFit="1" customWidth="1"/>
    <col min="264" max="264" width="7.5703125" style="87" bestFit="1" customWidth="1"/>
    <col min="265" max="266" width="0" style="87" hidden="1" customWidth="1"/>
    <col min="267" max="267" width="7.5703125" style="87" bestFit="1" customWidth="1"/>
    <col min="268" max="271" width="0" style="87" hidden="1" customWidth="1"/>
    <col min="272" max="272" width="11.5703125" style="87" bestFit="1" customWidth="1"/>
    <col min="273" max="273" width="12.28515625" style="87" bestFit="1" customWidth="1"/>
    <col min="274" max="274" width="11.5703125" style="87" bestFit="1" customWidth="1"/>
    <col min="275" max="276" width="9.140625" style="87"/>
    <col min="277" max="277" width="16" style="87" bestFit="1" customWidth="1"/>
    <col min="278" max="278" width="10.5703125" style="87" bestFit="1" customWidth="1"/>
    <col min="279" max="279" width="9.5703125" style="87" bestFit="1" customWidth="1"/>
    <col min="280" max="512" width="9.140625" style="87"/>
    <col min="513" max="513" width="3.140625" style="87" bestFit="1" customWidth="1"/>
    <col min="514" max="514" width="3" style="87" bestFit="1" customWidth="1"/>
    <col min="515" max="515" width="7.5703125" style="87" bestFit="1" customWidth="1"/>
    <col min="516" max="517" width="0" style="87" hidden="1" customWidth="1"/>
    <col min="518" max="518" width="4" style="87" bestFit="1" customWidth="1"/>
    <col min="519" max="519" width="3" style="87" bestFit="1" customWidth="1"/>
    <col min="520" max="520" width="7.5703125" style="87" bestFit="1" customWidth="1"/>
    <col min="521" max="522" width="0" style="87" hidden="1" customWidth="1"/>
    <col min="523" max="523" width="7.5703125" style="87" bestFit="1" customWidth="1"/>
    <col min="524" max="527" width="0" style="87" hidden="1" customWidth="1"/>
    <col min="528" max="528" width="11.5703125" style="87" bestFit="1" customWidth="1"/>
    <col min="529" max="529" width="12.28515625" style="87" bestFit="1" customWidth="1"/>
    <col min="530" max="530" width="11.5703125" style="87" bestFit="1" customWidth="1"/>
    <col min="531" max="532" width="9.140625" style="87"/>
    <col min="533" max="533" width="16" style="87" bestFit="1" customWidth="1"/>
    <col min="534" max="534" width="10.5703125" style="87" bestFit="1" customWidth="1"/>
    <col min="535" max="535" width="9.5703125" style="87" bestFit="1" customWidth="1"/>
    <col min="536" max="768" width="9.140625" style="87"/>
    <col min="769" max="769" width="3.140625" style="87" bestFit="1" customWidth="1"/>
    <col min="770" max="770" width="3" style="87" bestFit="1" customWidth="1"/>
    <col min="771" max="771" width="7.5703125" style="87" bestFit="1" customWidth="1"/>
    <col min="772" max="773" width="0" style="87" hidden="1" customWidth="1"/>
    <col min="774" max="774" width="4" style="87" bestFit="1" customWidth="1"/>
    <col min="775" max="775" width="3" style="87" bestFit="1" customWidth="1"/>
    <col min="776" max="776" width="7.5703125" style="87" bestFit="1" customWidth="1"/>
    <col min="777" max="778" width="0" style="87" hidden="1" customWidth="1"/>
    <col min="779" max="779" width="7.5703125" style="87" bestFit="1" customWidth="1"/>
    <col min="780" max="783" width="0" style="87" hidden="1" customWidth="1"/>
    <col min="784" max="784" width="11.5703125" style="87" bestFit="1" customWidth="1"/>
    <col min="785" max="785" width="12.28515625" style="87" bestFit="1" customWidth="1"/>
    <col min="786" max="786" width="11.5703125" style="87" bestFit="1" customWidth="1"/>
    <col min="787" max="788" width="9.140625" style="87"/>
    <col min="789" max="789" width="16" style="87" bestFit="1" customWidth="1"/>
    <col min="790" max="790" width="10.5703125" style="87" bestFit="1" customWidth="1"/>
    <col min="791" max="791" width="9.5703125" style="87" bestFit="1" customWidth="1"/>
    <col min="792" max="1024" width="9.140625" style="87"/>
    <col min="1025" max="1025" width="3.140625" style="87" bestFit="1" customWidth="1"/>
    <col min="1026" max="1026" width="3" style="87" bestFit="1" customWidth="1"/>
    <col min="1027" max="1027" width="7.5703125" style="87" bestFit="1" customWidth="1"/>
    <col min="1028" max="1029" width="0" style="87" hidden="1" customWidth="1"/>
    <col min="1030" max="1030" width="4" style="87" bestFit="1" customWidth="1"/>
    <col min="1031" max="1031" width="3" style="87" bestFit="1" customWidth="1"/>
    <col min="1032" max="1032" width="7.5703125" style="87" bestFit="1" customWidth="1"/>
    <col min="1033" max="1034" width="0" style="87" hidden="1" customWidth="1"/>
    <col min="1035" max="1035" width="7.5703125" style="87" bestFit="1" customWidth="1"/>
    <col min="1036" max="1039" width="0" style="87" hidden="1" customWidth="1"/>
    <col min="1040" max="1040" width="11.5703125" style="87" bestFit="1" customWidth="1"/>
    <col min="1041" max="1041" width="12.28515625" style="87" bestFit="1" customWidth="1"/>
    <col min="1042" max="1042" width="11.5703125" style="87" bestFit="1" customWidth="1"/>
    <col min="1043" max="1044" width="9.140625" style="87"/>
    <col min="1045" max="1045" width="16" style="87" bestFit="1" customWidth="1"/>
    <col min="1046" max="1046" width="10.5703125" style="87" bestFit="1" customWidth="1"/>
    <col min="1047" max="1047" width="9.5703125" style="87" bestFit="1" customWidth="1"/>
    <col min="1048" max="1280" width="9.140625" style="87"/>
    <col min="1281" max="1281" width="3.140625" style="87" bestFit="1" customWidth="1"/>
    <col min="1282" max="1282" width="3" style="87" bestFit="1" customWidth="1"/>
    <col min="1283" max="1283" width="7.5703125" style="87" bestFit="1" customWidth="1"/>
    <col min="1284" max="1285" width="0" style="87" hidden="1" customWidth="1"/>
    <col min="1286" max="1286" width="4" style="87" bestFit="1" customWidth="1"/>
    <col min="1287" max="1287" width="3" style="87" bestFit="1" customWidth="1"/>
    <col min="1288" max="1288" width="7.5703125" style="87" bestFit="1" customWidth="1"/>
    <col min="1289" max="1290" width="0" style="87" hidden="1" customWidth="1"/>
    <col min="1291" max="1291" width="7.5703125" style="87" bestFit="1" customWidth="1"/>
    <col min="1292" max="1295" width="0" style="87" hidden="1" customWidth="1"/>
    <col min="1296" max="1296" width="11.5703125" style="87" bestFit="1" customWidth="1"/>
    <col min="1297" max="1297" width="12.28515625" style="87" bestFit="1" customWidth="1"/>
    <col min="1298" max="1298" width="11.5703125" style="87" bestFit="1" customWidth="1"/>
    <col min="1299" max="1300" width="9.140625" style="87"/>
    <col min="1301" max="1301" width="16" style="87" bestFit="1" customWidth="1"/>
    <col min="1302" max="1302" width="10.5703125" style="87" bestFit="1" customWidth="1"/>
    <col min="1303" max="1303" width="9.5703125" style="87" bestFit="1" customWidth="1"/>
    <col min="1304" max="1536" width="9.140625" style="87"/>
    <col min="1537" max="1537" width="3.140625" style="87" bestFit="1" customWidth="1"/>
    <col min="1538" max="1538" width="3" style="87" bestFit="1" customWidth="1"/>
    <col min="1539" max="1539" width="7.5703125" style="87" bestFit="1" customWidth="1"/>
    <col min="1540" max="1541" width="0" style="87" hidden="1" customWidth="1"/>
    <col min="1542" max="1542" width="4" style="87" bestFit="1" customWidth="1"/>
    <col min="1543" max="1543" width="3" style="87" bestFit="1" customWidth="1"/>
    <col min="1544" max="1544" width="7.5703125" style="87" bestFit="1" customWidth="1"/>
    <col min="1545" max="1546" width="0" style="87" hidden="1" customWidth="1"/>
    <col min="1547" max="1547" width="7.5703125" style="87" bestFit="1" customWidth="1"/>
    <col min="1548" max="1551" width="0" style="87" hidden="1" customWidth="1"/>
    <col min="1552" max="1552" width="11.5703125" style="87" bestFit="1" customWidth="1"/>
    <col min="1553" max="1553" width="12.28515625" style="87" bestFit="1" customWidth="1"/>
    <col min="1554" max="1554" width="11.5703125" style="87" bestFit="1" customWidth="1"/>
    <col min="1555" max="1556" width="9.140625" style="87"/>
    <col min="1557" max="1557" width="16" style="87" bestFit="1" customWidth="1"/>
    <col min="1558" max="1558" width="10.5703125" style="87" bestFit="1" customWidth="1"/>
    <col min="1559" max="1559" width="9.5703125" style="87" bestFit="1" customWidth="1"/>
    <col min="1560" max="1792" width="9.140625" style="87"/>
    <col min="1793" max="1793" width="3.140625" style="87" bestFit="1" customWidth="1"/>
    <col min="1794" max="1794" width="3" style="87" bestFit="1" customWidth="1"/>
    <col min="1795" max="1795" width="7.5703125" style="87" bestFit="1" customWidth="1"/>
    <col min="1796" max="1797" width="0" style="87" hidden="1" customWidth="1"/>
    <col min="1798" max="1798" width="4" style="87" bestFit="1" customWidth="1"/>
    <col min="1799" max="1799" width="3" style="87" bestFit="1" customWidth="1"/>
    <col min="1800" max="1800" width="7.5703125" style="87" bestFit="1" customWidth="1"/>
    <col min="1801" max="1802" width="0" style="87" hidden="1" customWidth="1"/>
    <col min="1803" max="1803" width="7.5703125" style="87" bestFit="1" customWidth="1"/>
    <col min="1804" max="1807" width="0" style="87" hidden="1" customWidth="1"/>
    <col min="1808" max="1808" width="11.5703125" style="87" bestFit="1" customWidth="1"/>
    <col min="1809" max="1809" width="12.28515625" style="87" bestFit="1" customWidth="1"/>
    <col min="1810" max="1810" width="11.5703125" style="87" bestFit="1" customWidth="1"/>
    <col min="1811" max="1812" width="9.140625" style="87"/>
    <col min="1813" max="1813" width="16" style="87" bestFit="1" customWidth="1"/>
    <col min="1814" max="1814" width="10.5703125" style="87" bestFit="1" customWidth="1"/>
    <col min="1815" max="1815" width="9.5703125" style="87" bestFit="1" customWidth="1"/>
    <col min="1816" max="2048" width="9.140625" style="87"/>
    <col min="2049" max="2049" width="3.140625" style="87" bestFit="1" customWidth="1"/>
    <col min="2050" max="2050" width="3" style="87" bestFit="1" customWidth="1"/>
    <col min="2051" max="2051" width="7.5703125" style="87" bestFit="1" customWidth="1"/>
    <col min="2052" max="2053" width="0" style="87" hidden="1" customWidth="1"/>
    <col min="2054" max="2054" width="4" style="87" bestFit="1" customWidth="1"/>
    <col min="2055" max="2055" width="3" style="87" bestFit="1" customWidth="1"/>
    <col min="2056" max="2056" width="7.5703125" style="87" bestFit="1" customWidth="1"/>
    <col min="2057" max="2058" width="0" style="87" hidden="1" customWidth="1"/>
    <col min="2059" max="2059" width="7.5703125" style="87" bestFit="1" customWidth="1"/>
    <col min="2060" max="2063" width="0" style="87" hidden="1" customWidth="1"/>
    <col min="2064" max="2064" width="11.5703125" style="87" bestFit="1" customWidth="1"/>
    <col min="2065" max="2065" width="12.28515625" style="87" bestFit="1" customWidth="1"/>
    <col min="2066" max="2066" width="11.5703125" style="87" bestFit="1" customWidth="1"/>
    <col min="2067" max="2068" width="9.140625" style="87"/>
    <col min="2069" max="2069" width="16" style="87" bestFit="1" customWidth="1"/>
    <col min="2070" max="2070" width="10.5703125" style="87" bestFit="1" customWidth="1"/>
    <col min="2071" max="2071" width="9.5703125" style="87" bestFit="1" customWidth="1"/>
    <col min="2072" max="2304" width="9.140625" style="87"/>
    <col min="2305" max="2305" width="3.140625" style="87" bestFit="1" customWidth="1"/>
    <col min="2306" max="2306" width="3" style="87" bestFit="1" customWidth="1"/>
    <col min="2307" max="2307" width="7.5703125" style="87" bestFit="1" customWidth="1"/>
    <col min="2308" max="2309" width="0" style="87" hidden="1" customWidth="1"/>
    <col min="2310" max="2310" width="4" style="87" bestFit="1" customWidth="1"/>
    <col min="2311" max="2311" width="3" style="87" bestFit="1" customWidth="1"/>
    <col min="2312" max="2312" width="7.5703125" style="87" bestFit="1" customWidth="1"/>
    <col min="2313" max="2314" width="0" style="87" hidden="1" customWidth="1"/>
    <col min="2315" max="2315" width="7.5703125" style="87" bestFit="1" customWidth="1"/>
    <col min="2316" max="2319" width="0" style="87" hidden="1" customWidth="1"/>
    <col min="2320" max="2320" width="11.5703125" style="87" bestFit="1" customWidth="1"/>
    <col min="2321" max="2321" width="12.28515625" style="87" bestFit="1" customWidth="1"/>
    <col min="2322" max="2322" width="11.5703125" style="87" bestFit="1" customWidth="1"/>
    <col min="2323" max="2324" width="9.140625" style="87"/>
    <col min="2325" max="2325" width="16" style="87" bestFit="1" customWidth="1"/>
    <col min="2326" max="2326" width="10.5703125" style="87" bestFit="1" customWidth="1"/>
    <col min="2327" max="2327" width="9.5703125" style="87" bestFit="1" customWidth="1"/>
    <col min="2328" max="2560" width="9.140625" style="87"/>
    <col min="2561" max="2561" width="3.140625" style="87" bestFit="1" customWidth="1"/>
    <col min="2562" max="2562" width="3" style="87" bestFit="1" customWidth="1"/>
    <col min="2563" max="2563" width="7.5703125" style="87" bestFit="1" customWidth="1"/>
    <col min="2564" max="2565" width="0" style="87" hidden="1" customWidth="1"/>
    <col min="2566" max="2566" width="4" style="87" bestFit="1" customWidth="1"/>
    <col min="2567" max="2567" width="3" style="87" bestFit="1" customWidth="1"/>
    <col min="2568" max="2568" width="7.5703125" style="87" bestFit="1" customWidth="1"/>
    <col min="2569" max="2570" width="0" style="87" hidden="1" customWidth="1"/>
    <col min="2571" max="2571" width="7.5703125" style="87" bestFit="1" customWidth="1"/>
    <col min="2572" max="2575" width="0" style="87" hidden="1" customWidth="1"/>
    <col min="2576" max="2576" width="11.5703125" style="87" bestFit="1" customWidth="1"/>
    <col min="2577" max="2577" width="12.28515625" style="87" bestFit="1" customWidth="1"/>
    <col min="2578" max="2578" width="11.5703125" style="87" bestFit="1" customWidth="1"/>
    <col min="2579" max="2580" width="9.140625" style="87"/>
    <col min="2581" max="2581" width="16" style="87" bestFit="1" customWidth="1"/>
    <col min="2582" max="2582" width="10.5703125" style="87" bestFit="1" customWidth="1"/>
    <col min="2583" max="2583" width="9.5703125" style="87" bestFit="1" customWidth="1"/>
    <col min="2584" max="2816" width="9.140625" style="87"/>
    <col min="2817" max="2817" width="3.140625" style="87" bestFit="1" customWidth="1"/>
    <col min="2818" max="2818" width="3" style="87" bestFit="1" customWidth="1"/>
    <col min="2819" max="2819" width="7.5703125" style="87" bestFit="1" customWidth="1"/>
    <col min="2820" max="2821" width="0" style="87" hidden="1" customWidth="1"/>
    <col min="2822" max="2822" width="4" style="87" bestFit="1" customWidth="1"/>
    <col min="2823" max="2823" width="3" style="87" bestFit="1" customWidth="1"/>
    <col min="2824" max="2824" width="7.5703125" style="87" bestFit="1" customWidth="1"/>
    <col min="2825" max="2826" width="0" style="87" hidden="1" customWidth="1"/>
    <col min="2827" max="2827" width="7.5703125" style="87" bestFit="1" customWidth="1"/>
    <col min="2828" max="2831" width="0" style="87" hidden="1" customWidth="1"/>
    <col min="2832" max="2832" width="11.5703125" style="87" bestFit="1" customWidth="1"/>
    <col min="2833" max="2833" width="12.28515625" style="87" bestFit="1" customWidth="1"/>
    <col min="2834" max="2834" width="11.5703125" style="87" bestFit="1" customWidth="1"/>
    <col min="2835" max="2836" width="9.140625" style="87"/>
    <col min="2837" max="2837" width="16" style="87" bestFit="1" customWidth="1"/>
    <col min="2838" max="2838" width="10.5703125" style="87" bestFit="1" customWidth="1"/>
    <col min="2839" max="2839" width="9.5703125" style="87" bestFit="1" customWidth="1"/>
    <col min="2840" max="3072" width="9.140625" style="87"/>
    <col min="3073" max="3073" width="3.140625" style="87" bestFit="1" customWidth="1"/>
    <col min="3074" max="3074" width="3" style="87" bestFit="1" customWidth="1"/>
    <col min="3075" max="3075" width="7.5703125" style="87" bestFit="1" customWidth="1"/>
    <col min="3076" max="3077" width="0" style="87" hidden="1" customWidth="1"/>
    <col min="3078" max="3078" width="4" style="87" bestFit="1" customWidth="1"/>
    <col min="3079" max="3079" width="3" style="87" bestFit="1" customWidth="1"/>
    <col min="3080" max="3080" width="7.5703125" style="87" bestFit="1" customWidth="1"/>
    <col min="3081" max="3082" width="0" style="87" hidden="1" customWidth="1"/>
    <col min="3083" max="3083" width="7.5703125" style="87" bestFit="1" customWidth="1"/>
    <col min="3084" max="3087" width="0" style="87" hidden="1" customWidth="1"/>
    <col min="3088" max="3088" width="11.5703125" style="87" bestFit="1" customWidth="1"/>
    <col min="3089" max="3089" width="12.28515625" style="87" bestFit="1" customWidth="1"/>
    <col min="3090" max="3090" width="11.5703125" style="87" bestFit="1" customWidth="1"/>
    <col min="3091" max="3092" width="9.140625" style="87"/>
    <col min="3093" max="3093" width="16" style="87" bestFit="1" customWidth="1"/>
    <col min="3094" max="3094" width="10.5703125" style="87" bestFit="1" customWidth="1"/>
    <col min="3095" max="3095" width="9.5703125" style="87" bestFit="1" customWidth="1"/>
    <col min="3096" max="3328" width="9.140625" style="87"/>
    <col min="3329" max="3329" width="3.140625" style="87" bestFit="1" customWidth="1"/>
    <col min="3330" max="3330" width="3" style="87" bestFit="1" customWidth="1"/>
    <col min="3331" max="3331" width="7.5703125" style="87" bestFit="1" customWidth="1"/>
    <col min="3332" max="3333" width="0" style="87" hidden="1" customWidth="1"/>
    <col min="3334" max="3334" width="4" style="87" bestFit="1" customWidth="1"/>
    <col min="3335" max="3335" width="3" style="87" bestFit="1" customWidth="1"/>
    <col min="3336" max="3336" width="7.5703125" style="87" bestFit="1" customWidth="1"/>
    <col min="3337" max="3338" width="0" style="87" hidden="1" customWidth="1"/>
    <col min="3339" max="3339" width="7.5703125" style="87" bestFit="1" customWidth="1"/>
    <col min="3340" max="3343" width="0" style="87" hidden="1" customWidth="1"/>
    <col min="3344" max="3344" width="11.5703125" style="87" bestFit="1" customWidth="1"/>
    <col min="3345" max="3345" width="12.28515625" style="87" bestFit="1" customWidth="1"/>
    <col min="3346" max="3346" width="11.5703125" style="87" bestFit="1" customWidth="1"/>
    <col min="3347" max="3348" width="9.140625" style="87"/>
    <col min="3349" max="3349" width="16" style="87" bestFit="1" customWidth="1"/>
    <col min="3350" max="3350" width="10.5703125" style="87" bestFit="1" customWidth="1"/>
    <col min="3351" max="3351" width="9.5703125" style="87" bestFit="1" customWidth="1"/>
    <col min="3352" max="3584" width="9.140625" style="87"/>
    <col min="3585" max="3585" width="3.140625" style="87" bestFit="1" customWidth="1"/>
    <col min="3586" max="3586" width="3" style="87" bestFit="1" customWidth="1"/>
    <col min="3587" max="3587" width="7.5703125" style="87" bestFit="1" customWidth="1"/>
    <col min="3588" max="3589" width="0" style="87" hidden="1" customWidth="1"/>
    <col min="3590" max="3590" width="4" style="87" bestFit="1" customWidth="1"/>
    <col min="3591" max="3591" width="3" style="87" bestFit="1" customWidth="1"/>
    <col min="3592" max="3592" width="7.5703125" style="87" bestFit="1" customWidth="1"/>
    <col min="3593" max="3594" width="0" style="87" hidden="1" customWidth="1"/>
    <col min="3595" max="3595" width="7.5703125" style="87" bestFit="1" customWidth="1"/>
    <col min="3596" max="3599" width="0" style="87" hidden="1" customWidth="1"/>
    <col min="3600" max="3600" width="11.5703125" style="87" bestFit="1" customWidth="1"/>
    <col min="3601" max="3601" width="12.28515625" style="87" bestFit="1" customWidth="1"/>
    <col min="3602" max="3602" width="11.5703125" style="87" bestFit="1" customWidth="1"/>
    <col min="3603" max="3604" width="9.140625" style="87"/>
    <col min="3605" max="3605" width="16" style="87" bestFit="1" customWidth="1"/>
    <col min="3606" max="3606" width="10.5703125" style="87" bestFit="1" customWidth="1"/>
    <col min="3607" max="3607" width="9.5703125" style="87" bestFit="1" customWidth="1"/>
    <col min="3608" max="3840" width="9.140625" style="87"/>
    <col min="3841" max="3841" width="3.140625" style="87" bestFit="1" customWidth="1"/>
    <col min="3842" max="3842" width="3" style="87" bestFit="1" customWidth="1"/>
    <col min="3843" max="3843" width="7.5703125" style="87" bestFit="1" customWidth="1"/>
    <col min="3844" max="3845" width="0" style="87" hidden="1" customWidth="1"/>
    <col min="3846" max="3846" width="4" style="87" bestFit="1" customWidth="1"/>
    <col min="3847" max="3847" width="3" style="87" bestFit="1" customWidth="1"/>
    <col min="3848" max="3848" width="7.5703125" style="87" bestFit="1" customWidth="1"/>
    <col min="3849" max="3850" width="0" style="87" hidden="1" customWidth="1"/>
    <col min="3851" max="3851" width="7.5703125" style="87" bestFit="1" customWidth="1"/>
    <col min="3852" max="3855" width="0" style="87" hidden="1" customWidth="1"/>
    <col min="3856" max="3856" width="11.5703125" style="87" bestFit="1" customWidth="1"/>
    <col min="3857" max="3857" width="12.28515625" style="87" bestFit="1" customWidth="1"/>
    <col min="3858" max="3858" width="11.5703125" style="87" bestFit="1" customWidth="1"/>
    <col min="3859" max="3860" width="9.140625" style="87"/>
    <col min="3861" max="3861" width="16" style="87" bestFit="1" customWidth="1"/>
    <col min="3862" max="3862" width="10.5703125" style="87" bestFit="1" customWidth="1"/>
    <col min="3863" max="3863" width="9.5703125" style="87" bestFit="1" customWidth="1"/>
    <col min="3864" max="4096" width="9.140625" style="87"/>
    <col min="4097" max="4097" width="3.140625" style="87" bestFit="1" customWidth="1"/>
    <col min="4098" max="4098" width="3" style="87" bestFit="1" customWidth="1"/>
    <col min="4099" max="4099" width="7.5703125" style="87" bestFit="1" customWidth="1"/>
    <col min="4100" max="4101" width="0" style="87" hidden="1" customWidth="1"/>
    <col min="4102" max="4102" width="4" style="87" bestFit="1" customWidth="1"/>
    <col min="4103" max="4103" width="3" style="87" bestFit="1" customWidth="1"/>
    <col min="4104" max="4104" width="7.5703125" style="87" bestFit="1" customWidth="1"/>
    <col min="4105" max="4106" width="0" style="87" hidden="1" customWidth="1"/>
    <col min="4107" max="4107" width="7.5703125" style="87" bestFit="1" customWidth="1"/>
    <col min="4108" max="4111" width="0" style="87" hidden="1" customWidth="1"/>
    <col min="4112" max="4112" width="11.5703125" style="87" bestFit="1" customWidth="1"/>
    <col min="4113" max="4113" width="12.28515625" style="87" bestFit="1" customWidth="1"/>
    <col min="4114" max="4114" width="11.5703125" style="87" bestFit="1" customWidth="1"/>
    <col min="4115" max="4116" width="9.140625" style="87"/>
    <col min="4117" max="4117" width="16" style="87" bestFit="1" customWidth="1"/>
    <col min="4118" max="4118" width="10.5703125" style="87" bestFit="1" customWidth="1"/>
    <col min="4119" max="4119" width="9.5703125" style="87" bestFit="1" customWidth="1"/>
    <col min="4120" max="4352" width="9.140625" style="87"/>
    <col min="4353" max="4353" width="3.140625" style="87" bestFit="1" customWidth="1"/>
    <col min="4354" max="4354" width="3" style="87" bestFit="1" customWidth="1"/>
    <col min="4355" max="4355" width="7.5703125" style="87" bestFit="1" customWidth="1"/>
    <col min="4356" max="4357" width="0" style="87" hidden="1" customWidth="1"/>
    <col min="4358" max="4358" width="4" style="87" bestFit="1" customWidth="1"/>
    <col min="4359" max="4359" width="3" style="87" bestFit="1" customWidth="1"/>
    <col min="4360" max="4360" width="7.5703125" style="87" bestFit="1" customWidth="1"/>
    <col min="4361" max="4362" width="0" style="87" hidden="1" customWidth="1"/>
    <col min="4363" max="4363" width="7.5703125" style="87" bestFit="1" customWidth="1"/>
    <col min="4364" max="4367" width="0" style="87" hidden="1" customWidth="1"/>
    <col min="4368" max="4368" width="11.5703125" style="87" bestFit="1" customWidth="1"/>
    <col min="4369" max="4369" width="12.28515625" style="87" bestFit="1" customWidth="1"/>
    <col min="4370" max="4370" width="11.5703125" style="87" bestFit="1" customWidth="1"/>
    <col min="4371" max="4372" width="9.140625" style="87"/>
    <col min="4373" max="4373" width="16" style="87" bestFit="1" customWidth="1"/>
    <col min="4374" max="4374" width="10.5703125" style="87" bestFit="1" customWidth="1"/>
    <col min="4375" max="4375" width="9.5703125" style="87" bestFit="1" customWidth="1"/>
    <col min="4376" max="4608" width="9.140625" style="87"/>
    <col min="4609" max="4609" width="3.140625" style="87" bestFit="1" customWidth="1"/>
    <col min="4610" max="4610" width="3" style="87" bestFit="1" customWidth="1"/>
    <col min="4611" max="4611" width="7.5703125" style="87" bestFit="1" customWidth="1"/>
    <col min="4612" max="4613" width="0" style="87" hidden="1" customWidth="1"/>
    <col min="4614" max="4614" width="4" style="87" bestFit="1" customWidth="1"/>
    <col min="4615" max="4615" width="3" style="87" bestFit="1" customWidth="1"/>
    <col min="4616" max="4616" width="7.5703125" style="87" bestFit="1" customWidth="1"/>
    <col min="4617" max="4618" width="0" style="87" hidden="1" customWidth="1"/>
    <col min="4619" max="4619" width="7.5703125" style="87" bestFit="1" customWidth="1"/>
    <col min="4620" max="4623" width="0" style="87" hidden="1" customWidth="1"/>
    <col min="4624" max="4624" width="11.5703125" style="87" bestFit="1" customWidth="1"/>
    <col min="4625" max="4625" width="12.28515625" style="87" bestFit="1" customWidth="1"/>
    <col min="4626" max="4626" width="11.5703125" style="87" bestFit="1" customWidth="1"/>
    <col min="4627" max="4628" width="9.140625" style="87"/>
    <col min="4629" max="4629" width="16" style="87" bestFit="1" customWidth="1"/>
    <col min="4630" max="4630" width="10.5703125" style="87" bestFit="1" customWidth="1"/>
    <col min="4631" max="4631" width="9.5703125" style="87" bestFit="1" customWidth="1"/>
    <col min="4632" max="4864" width="9.140625" style="87"/>
    <col min="4865" max="4865" width="3.140625" style="87" bestFit="1" customWidth="1"/>
    <col min="4866" max="4866" width="3" style="87" bestFit="1" customWidth="1"/>
    <col min="4867" max="4867" width="7.5703125" style="87" bestFit="1" customWidth="1"/>
    <col min="4868" max="4869" width="0" style="87" hidden="1" customWidth="1"/>
    <col min="4870" max="4870" width="4" style="87" bestFit="1" customWidth="1"/>
    <col min="4871" max="4871" width="3" style="87" bestFit="1" customWidth="1"/>
    <col min="4872" max="4872" width="7.5703125" style="87" bestFit="1" customWidth="1"/>
    <col min="4873" max="4874" width="0" style="87" hidden="1" customWidth="1"/>
    <col min="4875" max="4875" width="7.5703125" style="87" bestFit="1" customWidth="1"/>
    <col min="4876" max="4879" width="0" style="87" hidden="1" customWidth="1"/>
    <col min="4880" max="4880" width="11.5703125" style="87" bestFit="1" customWidth="1"/>
    <col min="4881" max="4881" width="12.28515625" style="87" bestFit="1" customWidth="1"/>
    <col min="4882" max="4882" width="11.5703125" style="87" bestFit="1" customWidth="1"/>
    <col min="4883" max="4884" width="9.140625" style="87"/>
    <col min="4885" max="4885" width="16" style="87" bestFit="1" customWidth="1"/>
    <col min="4886" max="4886" width="10.5703125" style="87" bestFit="1" customWidth="1"/>
    <col min="4887" max="4887" width="9.5703125" style="87" bestFit="1" customWidth="1"/>
    <col min="4888" max="5120" width="9.140625" style="87"/>
    <col min="5121" max="5121" width="3.140625" style="87" bestFit="1" customWidth="1"/>
    <col min="5122" max="5122" width="3" style="87" bestFit="1" customWidth="1"/>
    <col min="5123" max="5123" width="7.5703125" style="87" bestFit="1" customWidth="1"/>
    <col min="5124" max="5125" width="0" style="87" hidden="1" customWidth="1"/>
    <col min="5126" max="5126" width="4" style="87" bestFit="1" customWidth="1"/>
    <col min="5127" max="5127" width="3" style="87" bestFit="1" customWidth="1"/>
    <col min="5128" max="5128" width="7.5703125" style="87" bestFit="1" customWidth="1"/>
    <col min="5129" max="5130" width="0" style="87" hidden="1" customWidth="1"/>
    <col min="5131" max="5131" width="7.5703125" style="87" bestFit="1" customWidth="1"/>
    <col min="5132" max="5135" width="0" style="87" hidden="1" customWidth="1"/>
    <col min="5136" max="5136" width="11.5703125" style="87" bestFit="1" customWidth="1"/>
    <col min="5137" max="5137" width="12.28515625" style="87" bestFit="1" customWidth="1"/>
    <col min="5138" max="5138" width="11.5703125" style="87" bestFit="1" customWidth="1"/>
    <col min="5139" max="5140" width="9.140625" style="87"/>
    <col min="5141" max="5141" width="16" style="87" bestFit="1" customWidth="1"/>
    <col min="5142" max="5142" width="10.5703125" style="87" bestFit="1" customWidth="1"/>
    <col min="5143" max="5143" width="9.5703125" style="87" bestFit="1" customWidth="1"/>
    <col min="5144" max="5376" width="9.140625" style="87"/>
    <col min="5377" max="5377" width="3.140625" style="87" bestFit="1" customWidth="1"/>
    <col min="5378" max="5378" width="3" style="87" bestFit="1" customWidth="1"/>
    <col min="5379" max="5379" width="7.5703125" style="87" bestFit="1" customWidth="1"/>
    <col min="5380" max="5381" width="0" style="87" hidden="1" customWidth="1"/>
    <col min="5382" max="5382" width="4" style="87" bestFit="1" customWidth="1"/>
    <col min="5383" max="5383" width="3" style="87" bestFit="1" customWidth="1"/>
    <col min="5384" max="5384" width="7.5703125" style="87" bestFit="1" customWidth="1"/>
    <col min="5385" max="5386" width="0" style="87" hidden="1" customWidth="1"/>
    <col min="5387" max="5387" width="7.5703125" style="87" bestFit="1" customWidth="1"/>
    <col min="5388" max="5391" width="0" style="87" hidden="1" customWidth="1"/>
    <col min="5392" max="5392" width="11.5703125" style="87" bestFit="1" customWidth="1"/>
    <col min="5393" max="5393" width="12.28515625" style="87" bestFit="1" customWidth="1"/>
    <col min="5394" max="5394" width="11.5703125" style="87" bestFit="1" customWidth="1"/>
    <col min="5395" max="5396" width="9.140625" style="87"/>
    <col min="5397" max="5397" width="16" style="87" bestFit="1" customWidth="1"/>
    <col min="5398" max="5398" width="10.5703125" style="87" bestFit="1" customWidth="1"/>
    <col min="5399" max="5399" width="9.5703125" style="87" bestFit="1" customWidth="1"/>
    <col min="5400" max="5632" width="9.140625" style="87"/>
    <col min="5633" max="5633" width="3.140625" style="87" bestFit="1" customWidth="1"/>
    <col min="5634" max="5634" width="3" style="87" bestFit="1" customWidth="1"/>
    <col min="5635" max="5635" width="7.5703125" style="87" bestFit="1" customWidth="1"/>
    <col min="5636" max="5637" width="0" style="87" hidden="1" customWidth="1"/>
    <col min="5638" max="5638" width="4" style="87" bestFit="1" customWidth="1"/>
    <col min="5639" max="5639" width="3" style="87" bestFit="1" customWidth="1"/>
    <col min="5640" max="5640" width="7.5703125" style="87" bestFit="1" customWidth="1"/>
    <col min="5641" max="5642" width="0" style="87" hidden="1" customWidth="1"/>
    <col min="5643" max="5643" width="7.5703125" style="87" bestFit="1" customWidth="1"/>
    <col min="5644" max="5647" width="0" style="87" hidden="1" customWidth="1"/>
    <col min="5648" max="5648" width="11.5703125" style="87" bestFit="1" customWidth="1"/>
    <col min="5649" max="5649" width="12.28515625" style="87" bestFit="1" customWidth="1"/>
    <col min="5650" max="5650" width="11.5703125" style="87" bestFit="1" customWidth="1"/>
    <col min="5651" max="5652" width="9.140625" style="87"/>
    <col min="5653" max="5653" width="16" style="87" bestFit="1" customWidth="1"/>
    <col min="5654" max="5654" width="10.5703125" style="87" bestFit="1" customWidth="1"/>
    <col min="5655" max="5655" width="9.5703125" style="87" bestFit="1" customWidth="1"/>
    <col min="5656" max="5888" width="9.140625" style="87"/>
    <col min="5889" max="5889" width="3.140625" style="87" bestFit="1" customWidth="1"/>
    <col min="5890" max="5890" width="3" style="87" bestFit="1" customWidth="1"/>
    <col min="5891" max="5891" width="7.5703125" style="87" bestFit="1" customWidth="1"/>
    <col min="5892" max="5893" width="0" style="87" hidden="1" customWidth="1"/>
    <col min="5894" max="5894" width="4" style="87" bestFit="1" customWidth="1"/>
    <col min="5895" max="5895" width="3" style="87" bestFit="1" customWidth="1"/>
    <col min="5896" max="5896" width="7.5703125" style="87" bestFit="1" customWidth="1"/>
    <col min="5897" max="5898" width="0" style="87" hidden="1" customWidth="1"/>
    <col min="5899" max="5899" width="7.5703125" style="87" bestFit="1" customWidth="1"/>
    <col min="5900" max="5903" width="0" style="87" hidden="1" customWidth="1"/>
    <col min="5904" max="5904" width="11.5703125" style="87" bestFit="1" customWidth="1"/>
    <col min="5905" max="5905" width="12.28515625" style="87" bestFit="1" customWidth="1"/>
    <col min="5906" max="5906" width="11.5703125" style="87" bestFit="1" customWidth="1"/>
    <col min="5907" max="5908" width="9.140625" style="87"/>
    <col min="5909" max="5909" width="16" style="87" bestFit="1" customWidth="1"/>
    <col min="5910" max="5910" width="10.5703125" style="87" bestFit="1" customWidth="1"/>
    <col min="5911" max="5911" width="9.5703125" style="87" bestFit="1" customWidth="1"/>
    <col min="5912" max="6144" width="9.140625" style="87"/>
    <col min="6145" max="6145" width="3.140625" style="87" bestFit="1" customWidth="1"/>
    <col min="6146" max="6146" width="3" style="87" bestFit="1" customWidth="1"/>
    <col min="6147" max="6147" width="7.5703125" style="87" bestFit="1" customWidth="1"/>
    <col min="6148" max="6149" width="0" style="87" hidden="1" customWidth="1"/>
    <col min="6150" max="6150" width="4" style="87" bestFit="1" customWidth="1"/>
    <col min="6151" max="6151" width="3" style="87" bestFit="1" customWidth="1"/>
    <col min="6152" max="6152" width="7.5703125" style="87" bestFit="1" customWidth="1"/>
    <col min="6153" max="6154" width="0" style="87" hidden="1" customWidth="1"/>
    <col min="6155" max="6155" width="7.5703125" style="87" bestFit="1" customWidth="1"/>
    <col min="6156" max="6159" width="0" style="87" hidden="1" customWidth="1"/>
    <col min="6160" max="6160" width="11.5703125" style="87" bestFit="1" customWidth="1"/>
    <col min="6161" max="6161" width="12.28515625" style="87" bestFit="1" customWidth="1"/>
    <col min="6162" max="6162" width="11.5703125" style="87" bestFit="1" customWidth="1"/>
    <col min="6163" max="6164" width="9.140625" style="87"/>
    <col min="6165" max="6165" width="16" style="87" bestFit="1" customWidth="1"/>
    <col min="6166" max="6166" width="10.5703125" style="87" bestFit="1" customWidth="1"/>
    <col min="6167" max="6167" width="9.5703125" style="87" bestFit="1" customWidth="1"/>
    <col min="6168" max="6400" width="9.140625" style="87"/>
    <col min="6401" max="6401" width="3.140625" style="87" bestFit="1" customWidth="1"/>
    <col min="6402" max="6402" width="3" style="87" bestFit="1" customWidth="1"/>
    <col min="6403" max="6403" width="7.5703125" style="87" bestFit="1" customWidth="1"/>
    <col min="6404" max="6405" width="0" style="87" hidden="1" customWidth="1"/>
    <col min="6406" max="6406" width="4" style="87" bestFit="1" customWidth="1"/>
    <col min="6407" max="6407" width="3" style="87" bestFit="1" customWidth="1"/>
    <col min="6408" max="6408" width="7.5703125" style="87" bestFit="1" customWidth="1"/>
    <col min="6409" max="6410" width="0" style="87" hidden="1" customWidth="1"/>
    <col min="6411" max="6411" width="7.5703125" style="87" bestFit="1" customWidth="1"/>
    <col min="6412" max="6415" width="0" style="87" hidden="1" customWidth="1"/>
    <col min="6416" max="6416" width="11.5703125" style="87" bestFit="1" customWidth="1"/>
    <col min="6417" max="6417" width="12.28515625" style="87" bestFit="1" customWidth="1"/>
    <col min="6418" max="6418" width="11.5703125" style="87" bestFit="1" customWidth="1"/>
    <col min="6419" max="6420" width="9.140625" style="87"/>
    <col min="6421" max="6421" width="16" style="87" bestFit="1" customWidth="1"/>
    <col min="6422" max="6422" width="10.5703125" style="87" bestFit="1" customWidth="1"/>
    <col min="6423" max="6423" width="9.5703125" style="87" bestFit="1" customWidth="1"/>
    <col min="6424" max="6656" width="9.140625" style="87"/>
    <col min="6657" max="6657" width="3.140625" style="87" bestFit="1" customWidth="1"/>
    <col min="6658" max="6658" width="3" style="87" bestFit="1" customWidth="1"/>
    <col min="6659" max="6659" width="7.5703125" style="87" bestFit="1" customWidth="1"/>
    <col min="6660" max="6661" width="0" style="87" hidden="1" customWidth="1"/>
    <col min="6662" max="6662" width="4" style="87" bestFit="1" customWidth="1"/>
    <col min="6663" max="6663" width="3" style="87" bestFit="1" customWidth="1"/>
    <col min="6664" max="6664" width="7.5703125" style="87" bestFit="1" customWidth="1"/>
    <col min="6665" max="6666" width="0" style="87" hidden="1" customWidth="1"/>
    <col min="6667" max="6667" width="7.5703125" style="87" bestFit="1" customWidth="1"/>
    <col min="6668" max="6671" width="0" style="87" hidden="1" customWidth="1"/>
    <col min="6672" max="6672" width="11.5703125" style="87" bestFit="1" customWidth="1"/>
    <col min="6673" max="6673" width="12.28515625" style="87" bestFit="1" customWidth="1"/>
    <col min="6674" max="6674" width="11.5703125" style="87" bestFit="1" customWidth="1"/>
    <col min="6675" max="6676" width="9.140625" style="87"/>
    <col min="6677" max="6677" width="16" style="87" bestFit="1" customWidth="1"/>
    <col min="6678" max="6678" width="10.5703125" style="87" bestFit="1" customWidth="1"/>
    <col min="6679" max="6679" width="9.5703125" style="87" bestFit="1" customWidth="1"/>
    <col min="6680" max="6912" width="9.140625" style="87"/>
    <col min="6913" max="6913" width="3.140625" style="87" bestFit="1" customWidth="1"/>
    <col min="6914" max="6914" width="3" style="87" bestFit="1" customWidth="1"/>
    <col min="6915" max="6915" width="7.5703125" style="87" bestFit="1" customWidth="1"/>
    <col min="6916" max="6917" width="0" style="87" hidden="1" customWidth="1"/>
    <col min="6918" max="6918" width="4" style="87" bestFit="1" customWidth="1"/>
    <col min="6919" max="6919" width="3" style="87" bestFit="1" customWidth="1"/>
    <col min="6920" max="6920" width="7.5703125" style="87" bestFit="1" customWidth="1"/>
    <col min="6921" max="6922" width="0" style="87" hidden="1" customWidth="1"/>
    <col min="6923" max="6923" width="7.5703125" style="87" bestFit="1" customWidth="1"/>
    <col min="6924" max="6927" width="0" style="87" hidden="1" customWidth="1"/>
    <col min="6928" max="6928" width="11.5703125" style="87" bestFit="1" customWidth="1"/>
    <col min="6929" max="6929" width="12.28515625" style="87" bestFit="1" customWidth="1"/>
    <col min="6930" max="6930" width="11.5703125" style="87" bestFit="1" customWidth="1"/>
    <col min="6931" max="6932" width="9.140625" style="87"/>
    <col min="6933" max="6933" width="16" style="87" bestFit="1" customWidth="1"/>
    <col min="6934" max="6934" width="10.5703125" style="87" bestFit="1" customWidth="1"/>
    <col min="6935" max="6935" width="9.5703125" style="87" bestFit="1" customWidth="1"/>
    <col min="6936" max="7168" width="9.140625" style="87"/>
    <col min="7169" max="7169" width="3.140625" style="87" bestFit="1" customWidth="1"/>
    <col min="7170" max="7170" width="3" style="87" bestFit="1" customWidth="1"/>
    <col min="7171" max="7171" width="7.5703125" style="87" bestFit="1" customWidth="1"/>
    <col min="7172" max="7173" width="0" style="87" hidden="1" customWidth="1"/>
    <col min="7174" max="7174" width="4" style="87" bestFit="1" customWidth="1"/>
    <col min="7175" max="7175" width="3" style="87" bestFit="1" customWidth="1"/>
    <col min="7176" max="7176" width="7.5703125" style="87" bestFit="1" customWidth="1"/>
    <col min="7177" max="7178" width="0" style="87" hidden="1" customWidth="1"/>
    <col min="7179" max="7179" width="7.5703125" style="87" bestFit="1" customWidth="1"/>
    <col min="7180" max="7183" width="0" style="87" hidden="1" customWidth="1"/>
    <col min="7184" max="7184" width="11.5703125" style="87" bestFit="1" customWidth="1"/>
    <col min="7185" max="7185" width="12.28515625" style="87" bestFit="1" customWidth="1"/>
    <col min="7186" max="7186" width="11.5703125" style="87" bestFit="1" customWidth="1"/>
    <col min="7187" max="7188" width="9.140625" style="87"/>
    <col min="7189" max="7189" width="16" style="87" bestFit="1" customWidth="1"/>
    <col min="7190" max="7190" width="10.5703125" style="87" bestFit="1" customWidth="1"/>
    <col min="7191" max="7191" width="9.5703125" style="87" bestFit="1" customWidth="1"/>
    <col min="7192" max="7424" width="9.140625" style="87"/>
    <col min="7425" max="7425" width="3.140625" style="87" bestFit="1" customWidth="1"/>
    <col min="7426" max="7426" width="3" style="87" bestFit="1" customWidth="1"/>
    <col min="7427" max="7427" width="7.5703125" style="87" bestFit="1" customWidth="1"/>
    <col min="7428" max="7429" width="0" style="87" hidden="1" customWidth="1"/>
    <col min="7430" max="7430" width="4" style="87" bestFit="1" customWidth="1"/>
    <col min="7431" max="7431" width="3" style="87" bestFit="1" customWidth="1"/>
    <col min="7432" max="7432" width="7.5703125" style="87" bestFit="1" customWidth="1"/>
    <col min="7433" max="7434" width="0" style="87" hidden="1" customWidth="1"/>
    <col min="7435" max="7435" width="7.5703125" style="87" bestFit="1" customWidth="1"/>
    <col min="7436" max="7439" width="0" style="87" hidden="1" customWidth="1"/>
    <col min="7440" max="7440" width="11.5703125" style="87" bestFit="1" customWidth="1"/>
    <col min="7441" max="7441" width="12.28515625" style="87" bestFit="1" customWidth="1"/>
    <col min="7442" max="7442" width="11.5703125" style="87" bestFit="1" customWidth="1"/>
    <col min="7443" max="7444" width="9.140625" style="87"/>
    <col min="7445" max="7445" width="16" style="87" bestFit="1" customWidth="1"/>
    <col min="7446" max="7446" width="10.5703125" style="87" bestFit="1" customWidth="1"/>
    <col min="7447" max="7447" width="9.5703125" style="87" bestFit="1" customWidth="1"/>
    <col min="7448" max="7680" width="9.140625" style="87"/>
    <col min="7681" max="7681" width="3.140625" style="87" bestFit="1" customWidth="1"/>
    <col min="7682" max="7682" width="3" style="87" bestFit="1" customWidth="1"/>
    <col min="7683" max="7683" width="7.5703125" style="87" bestFit="1" customWidth="1"/>
    <col min="7684" max="7685" width="0" style="87" hidden="1" customWidth="1"/>
    <col min="7686" max="7686" width="4" style="87" bestFit="1" customWidth="1"/>
    <col min="7687" max="7687" width="3" style="87" bestFit="1" customWidth="1"/>
    <col min="7688" max="7688" width="7.5703125" style="87" bestFit="1" customWidth="1"/>
    <col min="7689" max="7690" width="0" style="87" hidden="1" customWidth="1"/>
    <col min="7691" max="7691" width="7.5703125" style="87" bestFit="1" customWidth="1"/>
    <col min="7692" max="7695" width="0" style="87" hidden="1" customWidth="1"/>
    <col min="7696" max="7696" width="11.5703125" style="87" bestFit="1" customWidth="1"/>
    <col min="7697" max="7697" width="12.28515625" style="87" bestFit="1" customWidth="1"/>
    <col min="7698" max="7698" width="11.5703125" style="87" bestFit="1" customWidth="1"/>
    <col min="7699" max="7700" width="9.140625" style="87"/>
    <col min="7701" max="7701" width="16" style="87" bestFit="1" customWidth="1"/>
    <col min="7702" max="7702" width="10.5703125" style="87" bestFit="1" customWidth="1"/>
    <col min="7703" max="7703" width="9.5703125" style="87" bestFit="1" customWidth="1"/>
    <col min="7704" max="7936" width="9.140625" style="87"/>
    <col min="7937" max="7937" width="3.140625" style="87" bestFit="1" customWidth="1"/>
    <col min="7938" max="7938" width="3" style="87" bestFit="1" customWidth="1"/>
    <col min="7939" max="7939" width="7.5703125" style="87" bestFit="1" customWidth="1"/>
    <col min="7940" max="7941" width="0" style="87" hidden="1" customWidth="1"/>
    <col min="7942" max="7942" width="4" style="87" bestFit="1" customWidth="1"/>
    <col min="7943" max="7943" width="3" style="87" bestFit="1" customWidth="1"/>
    <col min="7944" max="7944" width="7.5703125" style="87" bestFit="1" customWidth="1"/>
    <col min="7945" max="7946" width="0" style="87" hidden="1" customWidth="1"/>
    <col min="7947" max="7947" width="7.5703125" style="87" bestFit="1" customWidth="1"/>
    <col min="7948" max="7951" width="0" style="87" hidden="1" customWidth="1"/>
    <col min="7952" max="7952" width="11.5703125" style="87" bestFit="1" customWidth="1"/>
    <col min="7953" max="7953" width="12.28515625" style="87" bestFit="1" customWidth="1"/>
    <col min="7954" max="7954" width="11.5703125" style="87" bestFit="1" customWidth="1"/>
    <col min="7955" max="7956" width="9.140625" style="87"/>
    <col min="7957" max="7957" width="16" style="87" bestFit="1" customWidth="1"/>
    <col min="7958" max="7958" width="10.5703125" style="87" bestFit="1" customWidth="1"/>
    <col min="7959" max="7959" width="9.5703125" style="87" bestFit="1" customWidth="1"/>
    <col min="7960" max="8192" width="9.140625" style="87"/>
    <col min="8193" max="8193" width="3.140625" style="87" bestFit="1" customWidth="1"/>
    <col min="8194" max="8194" width="3" style="87" bestFit="1" customWidth="1"/>
    <col min="8195" max="8195" width="7.5703125" style="87" bestFit="1" customWidth="1"/>
    <col min="8196" max="8197" width="0" style="87" hidden="1" customWidth="1"/>
    <col min="8198" max="8198" width="4" style="87" bestFit="1" customWidth="1"/>
    <col min="8199" max="8199" width="3" style="87" bestFit="1" customWidth="1"/>
    <col min="8200" max="8200" width="7.5703125" style="87" bestFit="1" customWidth="1"/>
    <col min="8201" max="8202" width="0" style="87" hidden="1" customWidth="1"/>
    <col min="8203" max="8203" width="7.5703125" style="87" bestFit="1" customWidth="1"/>
    <col min="8204" max="8207" width="0" style="87" hidden="1" customWidth="1"/>
    <col min="8208" max="8208" width="11.5703125" style="87" bestFit="1" customWidth="1"/>
    <col min="8209" max="8209" width="12.28515625" style="87" bestFit="1" customWidth="1"/>
    <col min="8210" max="8210" width="11.5703125" style="87" bestFit="1" customWidth="1"/>
    <col min="8211" max="8212" width="9.140625" style="87"/>
    <col min="8213" max="8213" width="16" style="87" bestFit="1" customWidth="1"/>
    <col min="8214" max="8214" width="10.5703125" style="87" bestFit="1" customWidth="1"/>
    <col min="8215" max="8215" width="9.5703125" style="87" bestFit="1" customWidth="1"/>
    <col min="8216" max="8448" width="9.140625" style="87"/>
    <col min="8449" max="8449" width="3.140625" style="87" bestFit="1" customWidth="1"/>
    <col min="8450" max="8450" width="3" style="87" bestFit="1" customWidth="1"/>
    <col min="8451" max="8451" width="7.5703125" style="87" bestFit="1" customWidth="1"/>
    <col min="8452" max="8453" width="0" style="87" hidden="1" customWidth="1"/>
    <col min="8454" max="8454" width="4" style="87" bestFit="1" customWidth="1"/>
    <col min="8455" max="8455" width="3" style="87" bestFit="1" customWidth="1"/>
    <col min="8456" max="8456" width="7.5703125" style="87" bestFit="1" customWidth="1"/>
    <col min="8457" max="8458" width="0" style="87" hidden="1" customWidth="1"/>
    <col min="8459" max="8459" width="7.5703125" style="87" bestFit="1" customWidth="1"/>
    <col min="8460" max="8463" width="0" style="87" hidden="1" customWidth="1"/>
    <col min="8464" max="8464" width="11.5703125" style="87" bestFit="1" customWidth="1"/>
    <col min="8465" max="8465" width="12.28515625" style="87" bestFit="1" customWidth="1"/>
    <col min="8466" max="8466" width="11.5703125" style="87" bestFit="1" customWidth="1"/>
    <col min="8467" max="8468" width="9.140625" style="87"/>
    <col min="8469" max="8469" width="16" style="87" bestFit="1" customWidth="1"/>
    <col min="8470" max="8470" width="10.5703125" style="87" bestFit="1" customWidth="1"/>
    <col min="8471" max="8471" width="9.5703125" style="87" bestFit="1" customWidth="1"/>
    <col min="8472" max="8704" width="9.140625" style="87"/>
    <col min="8705" max="8705" width="3.140625" style="87" bestFit="1" customWidth="1"/>
    <col min="8706" max="8706" width="3" style="87" bestFit="1" customWidth="1"/>
    <col min="8707" max="8707" width="7.5703125" style="87" bestFit="1" customWidth="1"/>
    <col min="8708" max="8709" width="0" style="87" hidden="1" customWidth="1"/>
    <col min="8710" max="8710" width="4" style="87" bestFit="1" customWidth="1"/>
    <col min="8711" max="8711" width="3" style="87" bestFit="1" customWidth="1"/>
    <col min="8712" max="8712" width="7.5703125" style="87" bestFit="1" customWidth="1"/>
    <col min="8713" max="8714" width="0" style="87" hidden="1" customWidth="1"/>
    <col min="8715" max="8715" width="7.5703125" style="87" bestFit="1" customWidth="1"/>
    <col min="8716" max="8719" width="0" style="87" hidden="1" customWidth="1"/>
    <col min="8720" max="8720" width="11.5703125" style="87" bestFit="1" customWidth="1"/>
    <col min="8721" max="8721" width="12.28515625" style="87" bestFit="1" customWidth="1"/>
    <col min="8722" max="8722" width="11.5703125" style="87" bestFit="1" customWidth="1"/>
    <col min="8723" max="8724" width="9.140625" style="87"/>
    <col min="8725" max="8725" width="16" style="87" bestFit="1" customWidth="1"/>
    <col min="8726" max="8726" width="10.5703125" style="87" bestFit="1" customWidth="1"/>
    <col min="8727" max="8727" width="9.5703125" style="87" bestFit="1" customWidth="1"/>
    <col min="8728" max="8960" width="9.140625" style="87"/>
    <col min="8961" max="8961" width="3.140625" style="87" bestFit="1" customWidth="1"/>
    <col min="8962" max="8962" width="3" style="87" bestFit="1" customWidth="1"/>
    <col min="8963" max="8963" width="7.5703125" style="87" bestFit="1" customWidth="1"/>
    <col min="8964" max="8965" width="0" style="87" hidden="1" customWidth="1"/>
    <col min="8966" max="8966" width="4" style="87" bestFit="1" customWidth="1"/>
    <col min="8967" max="8967" width="3" style="87" bestFit="1" customWidth="1"/>
    <col min="8968" max="8968" width="7.5703125" style="87" bestFit="1" customWidth="1"/>
    <col min="8969" max="8970" width="0" style="87" hidden="1" customWidth="1"/>
    <col min="8971" max="8971" width="7.5703125" style="87" bestFit="1" customWidth="1"/>
    <col min="8972" max="8975" width="0" style="87" hidden="1" customWidth="1"/>
    <col min="8976" max="8976" width="11.5703125" style="87" bestFit="1" customWidth="1"/>
    <col min="8977" max="8977" width="12.28515625" style="87" bestFit="1" customWidth="1"/>
    <col min="8978" max="8978" width="11.5703125" style="87" bestFit="1" customWidth="1"/>
    <col min="8979" max="8980" width="9.140625" style="87"/>
    <col min="8981" max="8981" width="16" style="87" bestFit="1" customWidth="1"/>
    <col min="8982" max="8982" width="10.5703125" style="87" bestFit="1" customWidth="1"/>
    <col min="8983" max="8983" width="9.5703125" style="87" bestFit="1" customWidth="1"/>
    <col min="8984" max="9216" width="9.140625" style="87"/>
    <col min="9217" max="9217" width="3.140625" style="87" bestFit="1" customWidth="1"/>
    <col min="9218" max="9218" width="3" style="87" bestFit="1" customWidth="1"/>
    <col min="9219" max="9219" width="7.5703125" style="87" bestFit="1" customWidth="1"/>
    <col min="9220" max="9221" width="0" style="87" hidden="1" customWidth="1"/>
    <col min="9222" max="9222" width="4" style="87" bestFit="1" customWidth="1"/>
    <col min="9223" max="9223" width="3" style="87" bestFit="1" customWidth="1"/>
    <col min="9224" max="9224" width="7.5703125" style="87" bestFit="1" customWidth="1"/>
    <col min="9225" max="9226" width="0" style="87" hidden="1" customWidth="1"/>
    <col min="9227" max="9227" width="7.5703125" style="87" bestFit="1" customWidth="1"/>
    <col min="9228" max="9231" width="0" style="87" hidden="1" customWidth="1"/>
    <col min="9232" max="9232" width="11.5703125" style="87" bestFit="1" customWidth="1"/>
    <col min="9233" max="9233" width="12.28515625" style="87" bestFit="1" customWidth="1"/>
    <col min="9234" max="9234" width="11.5703125" style="87" bestFit="1" customWidth="1"/>
    <col min="9235" max="9236" width="9.140625" style="87"/>
    <col min="9237" max="9237" width="16" style="87" bestFit="1" customWidth="1"/>
    <col min="9238" max="9238" width="10.5703125" style="87" bestFit="1" customWidth="1"/>
    <col min="9239" max="9239" width="9.5703125" style="87" bestFit="1" customWidth="1"/>
    <col min="9240" max="9472" width="9.140625" style="87"/>
    <col min="9473" max="9473" width="3.140625" style="87" bestFit="1" customWidth="1"/>
    <col min="9474" max="9474" width="3" style="87" bestFit="1" customWidth="1"/>
    <col min="9475" max="9475" width="7.5703125" style="87" bestFit="1" customWidth="1"/>
    <col min="9476" max="9477" width="0" style="87" hidden="1" customWidth="1"/>
    <col min="9478" max="9478" width="4" style="87" bestFit="1" customWidth="1"/>
    <col min="9479" max="9479" width="3" style="87" bestFit="1" customWidth="1"/>
    <col min="9480" max="9480" width="7.5703125" style="87" bestFit="1" customWidth="1"/>
    <col min="9481" max="9482" width="0" style="87" hidden="1" customWidth="1"/>
    <col min="9483" max="9483" width="7.5703125" style="87" bestFit="1" customWidth="1"/>
    <col min="9484" max="9487" width="0" style="87" hidden="1" customWidth="1"/>
    <col min="9488" max="9488" width="11.5703125" style="87" bestFit="1" customWidth="1"/>
    <col min="9489" max="9489" width="12.28515625" style="87" bestFit="1" customWidth="1"/>
    <col min="9490" max="9490" width="11.5703125" style="87" bestFit="1" customWidth="1"/>
    <col min="9491" max="9492" width="9.140625" style="87"/>
    <col min="9493" max="9493" width="16" style="87" bestFit="1" customWidth="1"/>
    <col min="9494" max="9494" width="10.5703125" style="87" bestFit="1" customWidth="1"/>
    <col min="9495" max="9495" width="9.5703125" style="87" bestFit="1" customWidth="1"/>
    <col min="9496" max="9728" width="9.140625" style="87"/>
    <col min="9729" max="9729" width="3.140625" style="87" bestFit="1" customWidth="1"/>
    <col min="9730" max="9730" width="3" style="87" bestFit="1" customWidth="1"/>
    <col min="9731" max="9731" width="7.5703125" style="87" bestFit="1" customWidth="1"/>
    <col min="9732" max="9733" width="0" style="87" hidden="1" customWidth="1"/>
    <col min="9734" max="9734" width="4" style="87" bestFit="1" customWidth="1"/>
    <col min="9735" max="9735" width="3" style="87" bestFit="1" customWidth="1"/>
    <col min="9736" max="9736" width="7.5703125" style="87" bestFit="1" customWidth="1"/>
    <col min="9737" max="9738" width="0" style="87" hidden="1" customWidth="1"/>
    <col min="9739" max="9739" width="7.5703125" style="87" bestFit="1" customWidth="1"/>
    <col min="9740" max="9743" width="0" style="87" hidden="1" customWidth="1"/>
    <col min="9744" max="9744" width="11.5703125" style="87" bestFit="1" customWidth="1"/>
    <col min="9745" max="9745" width="12.28515625" style="87" bestFit="1" customWidth="1"/>
    <col min="9746" max="9746" width="11.5703125" style="87" bestFit="1" customWidth="1"/>
    <col min="9747" max="9748" width="9.140625" style="87"/>
    <col min="9749" max="9749" width="16" style="87" bestFit="1" customWidth="1"/>
    <col min="9750" max="9750" width="10.5703125" style="87" bestFit="1" customWidth="1"/>
    <col min="9751" max="9751" width="9.5703125" style="87" bestFit="1" customWidth="1"/>
    <col min="9752" max="9984" width="9.140625" style="87"/>
    <col min="9985" max="9985" width="3.140625" style="87" bestFit="1" customWidth="1"/>
    <col min="9986" max="9986" width="3" style="87" bestFit="1" customWidth="1"/>
    <col min="9987" max="9987" width="7.5703125" style="87" bestFit="1" customWidth="1"/>
    <col min="9988" max="9989" width="0" style="87" hidden="1" customWidth="1"/>
    <col min="9990" max="9990" width="4" style="87" bestFit="1" customWidth="1"/>
    <col min="9991" max="9991" width="3" style="87" bestFit="1" customWidth="1"/>
    <col min="9992" max="9992" width="7.5703125" style="87" bestFit="1" customWidth="1"/>
    <col min="9993" max="9994" width="0" style="87" hidden="1" customWidth="1"/>
    <col min="9995" max="9995" width="7.5703125" style="87" bestFit="1" customWidth="1"/>
    <col min="9996" max="9999" width="0" style="87" hidden="1" customWidth="1"/>
    <col min="10000" max="10000" width="11.5703125" style="87" bestFit="1" customWidth="1"/>
    <col min="10001" max="10001" width="12.28515625" style="87" bestFit="1" customWidth="1"/>
    <col min="10002" max="10002" width="11.5703125" style="87" bestFit="1" customWidth="1"/>
    <col min="10003" max="10004" width="9.140625" style="87"/>
    <col min="10005" max="10005" width="16" style="87" bestFit="1" customWidth="1"/>
    <col min="10006" max="10006" width="10.5703125" style="87" bestFit="1" customWidth="1"/>
    <col min="10007" max="10007" width="9.5703125" style="87" bestFit="1" customWidth="1"/>
    <col min="10008" max="10240" width="9.140625" style="87"/>
    <col min="10241" max="10241" width="3.140625" style="87" bestFit="1" customWidth="1"/>
    <col min="10242" max="10242" width="3" style="87" bestFit="1" customWidth="1"/>
    <col min="10243" max="10243" width="7.5703125" style="87" bestFit="1" customWidth="1"/>
    <col min="10244" max="10245" width="0" style="87" hidden="1" customWidth="1"/>
    <col min="10246" max="10246" width="4" style="87" bestFit="1" customWidth="1"/>
    <col min="10247" max="10247" width="3" style="87" bestFit="1" customWidth="1"/>
    <col min="10248" max="10248" width="7.5703125" style="87" bestFit="1" customWidth="1"/>
    <col min="10249" max="10250" width="0" style="87" hidden="1" customWidth="1"/>
    <col min="10251" max="10251" width="7.5703125" style="87" bestFit="1" customWidth="1"/>
    <col min="10252" max="10255" width="0" style="87" hidden="1" customWidth="1"/>
    <col min="10256" max="10256" width="11.5703125" style="87" bestFit="1" customWidth="1"/>
    <col min="10257" max="10257" width="12.28515625" style="87" bestFit="1" customWidth="1"/>
    <col min="10258" max="10258" width="11.5703125" style="87" bestFit="1" customWidth="1"/>
    <col min="10259" max="10260" width="9.140625" style="87"/>
    <col min="10261" max="10261" width="16" style="87" bestFit="1" customWidth="1"/>
    <col min="10262" max="10262" width="10.5703125" style="87" bestFit="1" customWidth="1"/>
    <col min="10263" max="10263" width="9.5703125" style="87" bestFit="1" customWidth="1"/>
    <col min="10264" max="10496" width="9.140625" style="87"/>
    <col min="10497" max="10497" width="3.140625" style="87" bestFit="1" customWidth="1"/>
    <col min="10498" max="10498" width="3" style="87" bestFit="1" customWidth="1"/>
    <col min="10499" max="10499" width="7.5703125" style="87" bestFit="1" customWidth="1"/>
    <col min="10500" max="10501" width="0" style="87" hidden="1" customWidth="1"/>
    <col min="10502" max="10502" width="4" style="87" bestFit="1" customWidth="1"/>
    <col min="10503" max="10503" width="3" style="87" bestFit="1" customWidth="1"/>
    <col min="10504" max="10504" width="7.5703125" style="87" bestFit="1" customWidth="1"/>
    <col min="10505" max="10506" width="0" style="87" hidden="1" customWidth="1"/>
    <col min="10507" max="10507" width="7.5703125" style="87" bestFit="1" customWidth="1"/>
    <col min="10508" max="10511" width="0" style="87" hidden="1" customWidth="1"/>
    <col min="10512" max="10512" width="11.5703125" style="87" bestFit="1" customWidth="1"/>
    <col min="10513" max="10513" width="12.28515625" style="87" bestFit="1" customWidth="1"/>
    <col min="10514" max="10514" width="11.5703125" style="87" bestFit="1" customWidth="1"/>
    <col min="10515" max="10516" width="9.140625" style="87"/>
    <col min="10517" max="10517" width="16" style="87" bestFit="1" customWidth="1"/>
    <col min="10518" max="10518" width="10.5703125" style="87" bestFit="1" customWidth="1"/>
    <col min="10519" max="10519" width="9.5703125" style="87" bestFit="1" customWidth="1"/>
    <col min="10520" max="10752" width="9.140625" style="87"/>
    <col min="10753" max="10753" width="3.140625" style="87" bestFit="1" customWidth="1"/>
    <col min="10754" max="10754" width="3" style="87" bestFit="1" customWidth="1"/>
    <col min="10755" max="10755" width="7.5703125" style="87" bestFit="1" customWidth="1"/>
    <col min="10756" max="10757" width="0" style="87" hidden="1" customWidth="1"/>
    <col min="10758" max="10758" width="4" style="87" bestFit="1" customWidth="1"/>
    <col min="10759" max="10759" width="3" style="87" bestFit="1" customWidth="1"/>
    <col min="10760" max="10760" width="7.5703125" style="87" bestFit="1" customWidth="1"/>
    <col min="10761" max="10762" width="0" style="87" hidden="1" customWidth="1"/>
    <col min="10763" max="10763" width="7.5703125" style="87" bestFit="1" customWidth="1"/>
    <col min="10764" max="10767" width="0" style="87" hidden="1" customWidth="1"/>
    <col min="10768" max="10768" width="11.5703125" style="87" bestFit="1" customWidth="1"/>
    <col min="10769" max="10769" width="12.28515625" style="87" bestFit="1" customWidth="1"/>
    <col min="10770" max="10770" width="11.5703125" style="87" bestFit="1" customWidth="1"/>
    <col min="10771" max="10772" width="9.140625" style="87"/>
    <col min="10773" max="10773" width="16" style="87" bestFit="1" customWidth="1"/>
    <col min="10774" max="10774" width="10.5703125" style="87" bestFit="1" customWidth="1"/>
    <col min="10775" max="10775" width="9.5703125" style="87" bestFit="1" customWidth="1"/>
    <col min="10776" max="11008" width="9.140625" style="87"/>
    <col min="11009" max="11009" width="3.140625" style="87" bestFit="1" customWidth="1"/>
    <col min="11010" max="11010" width="3" style="87" bestFit="1" customWidth="1"/>
    <col min="11011" max="11011" width="7.5703125" style="87" bestFit="1" customWidth="1"/>
    <col min="11012" max="11013" width="0" style="87" hidden="1" customWidth="1"/>
    <col min="11014" max="11014" width="4" style="87" bestFit="1" customWidth="1"/>
    <col min="11015" max="11015" width="3" style="87" bestFit="1" customWidth="1"/>
    <col min="11016" max="11016" width="7.5703125" style="87" bestFit="1" customWidth="1"/>
    <col min="11017" max="11018" width="0" style="87" hidden="1" customWidth="1"/>
    <col min="11019" max="11019" width="7.5703125" style="87" bestFit="1" customWidth="1"/>
    <col min="11020" max="11023" width="0" style="87" hidden="1" customWidth="1"/>
    <col min="11024" max="11024" width="11.5703125" style="87" bestFit="1" customWidth="1"/>
    <col min="11025" max="11025" width="12.28515625" style="87" bestFit="1" customWidth="1"/>
    <col min="11026" max="11026" width="11.5703125" style="87" bestFit="1" customWidth="1"/>
    <col min="11027" max="11028" width="9.140625" style="87"/>
    <col min="11029" max="11029" width="16" style="87" bestFit="1" customWidth="1"/>
    <col min="11030" max="11030" width="10.5703125" style="87" bestFit="1" customWidth="1"/>
    <col min="11031" max="11031" width="9.5703125" style="87" bestFit="1" customWidth="1"/>
    <col min="11032" max="11264" width="9.140625" style="87"/>
    <col min="11265" max="11265" width="3.140625" style="87" bestFit="1" customWidth="1"/>
    <col min="11266" max="11266" width="3" style="87" bestFit="1" customWidth="1"/>
    <col min="11267" max="11267" width="7.5703125" style="87" bestFit="1" customWidth="1"/>
    <col min="11268" max="11269" width="0" style="87" hidden="1" customWidth="1"/>
    <col min="11270" max="11270" width="4" style="87" bestFit="1" customWidth="1"/>
    <col min="11271" max="11271" width="3" style="87" bestFit="1" customWidth="1"/>
    <col min="11272" max="11272" width="7.5703125" style="87" bestFit="1" customWidth="1"/>
    <col min="11273" max="11274" width="0" style="87" hidden="1" customWidth="1"/>
    <col min="11275" max="11275" width="7.5703125" style="87" bestFit="1" customWidth="1"/>
    <col min="11276" max="11279" width="0" style="87" hidden="1" customWidth="1"/>
    <col min="11280" max="11280" width="11.5703125" style="87" bestFit="1" customWidth="1"/>
    <col min="11281" max="11281" width="12.28515625" style="87" bestFit="1" customWidth="1"/>
    <col min="11282" max="11282" width="11.5703125" style="87" bestFit="1" customWidth="1"/>
    <col min="11283" max="11284" width="9.140625" style="87"/>
    <col min="11285" max="11285" width="16" style="87" bestFit="1" customWidth="1"/>
    <col min="11286" max="11286" width="10.5703125" style="87" bestFit="1" customWidth="1"/>
    <col min="11287" max="11287" width="9.5703125" style="87" bestFit="1" customWidth="1"/>
    <col min="11288" max="11520" width="9.140625" style="87"/>
    <col min="11521" max="11521" width="3.140625" style="87" bestFit="1" customWidth="1"/>
    <col min="11522" max="11522" width="3" style="87" bestFit="1" customWidth="1"/>
    <col min="11523" max="11523" width="7.5703125" style="87" bestFit="1" customWidth="1"/>
    <col min="11524" max="11525" width="0" style="87" hidden="1" customWidth="1"/>
    <col min="11526" max="11526" width="4" style="87" bestFit="1" customWidth="1"/>
    <col min="11527" max="11527" width="3" style="87" bestFit="1" customWidth="1"/>
    <col min="11528" max="11528" width="7.5703125" style="87" bestFit="1" customWidth="1"/>
    <col min="11529" max="11530" width="0" style="87" hidden="1" customWidth="1"/>
    <col min="11531" max="11531" width="7.5703125" style="87" bestFit="1" customWidth="1"/>
    <col min="11532" max="11535" width="0" style="87" hidden="1" customWidth="1"/>
    <col min="11536" max="11536" width="11.5703125" style="87" bestFit="1" customWidth="1"/>
    <col min="11537" max="11537" width="12.28515625" style="87" bestFit="1" customWidth="1"/>
    <col min="11538" max="11538" width="11.5703125" style="87" bestFit="1" customWidth="1"/>
    <col min="11539" max="11540" width="9.140625" style="87"/>
    <col min="11541" max="11541" width="16" style="87" bestFit="1" customWidth="1"/>
    <col min="11542" max="11542" width="10.5703125" style="87" bestFit="1" customWidth="1"/>
    <col min="11543" max="11543" width="9.5703125" style="87" bestFit="1" customWidth="1"/>
    <col min="11544" max="11776" width="9.140625" style="87"/>
    <col min="11777" max="11777" width="3.140625" style="87" bestFit="1" customWidth="1"/>
    <col min="11778" max="11778" width="3" style="87" bestFit="1" customWidth="1"/>
    <col min="11779" max="11779" width="7.5703125" style="87" bestFit="1" customWidth="1"/>
    <col min="11780" max="11781" width="0" style="87" hidden="1" customWidth="1"/>
    <col min="11782" max="11782" width="4" style="87" bestFit="1" customWidth="1"/>
    <col min="11783" max="11783" width="3" style="87" bestFit="1" customWidth="1"/>
    <col min="11784" max="11784" width="7.5703125" style="87" bestFit="1" customWidth="1"/>
    <col min="11785" max="11786" width="0" style="87" hidden="1" customWidth="1"/>
    <col min="11787" max="11787" width="7.5703125" style="87" bestFit="1" customWidth="1"/>
    <col min="11788" max="11791" width="0" style="87" hidden="1" customWidth="1"/>
    <col min="11792" max="11792" width="11.5703125" style="87" bestFit="1" customWidth="1"/>
    <col min="11793" max="11793" width="12.28515625" style="87" bestFit="1" customWidth="1"/>
    <col min="11794" max="11794" width="11.5703125" style="87" bestFit="1" customWidth="1"/>
    <col min="11795" max="11796" width="9.140625" style="87"/>
    <col min="11797" max="11797" width="16" style="87" bestFit="1" customWidth="1"/>
    <col min="11798" max="11798" width="10.5703125" style="87" bestFit="1" customWidth="1"/>
    <col min="11799" max="11799" width="9.5703125" style="87" bestFit="1" customWidth="1"/>
    <col min="11800" max="12032" width="9.140625" style="87"/>
    <col min="12033" max="12033" width="3.140625" style="87" bestFit="1" customWidth="1"/>
    <col min="12034" max="12034" width="3" style="87" bestFit="1" customWidth="1"/>
    <col min="12035" max="12035" width="7.5703125" style="87" bestFit="1" customWidth="1"/>
    <col min="12036" max="12037" width="0" style="87" hidden="1" customWidth="1"/>
    <col min="12038" max="12038" width="4" style="87" bestFit="1" customWidth="1"/>
    <col min="12039" max="12039" width="3" style="87" bestFit="1" customWidth="1"/>
    <col min="12040" max="12040" width="7.5703125" style="87" bestFit="1" customWidth="1"/>
    <col min="12041" max="12042" width="0" style="87" hidden="1" customWidth="1"/>
    <col min="12043" max="12043" width="7.5703125" style="87" bestFit="1" customWidth="1"/>
    <col min="12044" max="12047" width="0" style="87" hidden="1" customWidth="1"/>
    <col min="12048" max="12048" width="11.5703125" style="87" bestFit="1" customWidth="1"/>
    <col min="12049" max="12049" width="12.28515625" style="87" bestFit="1" customWidth="1"/>
    <col min="12050" max="12050" width="11.5703125" style="87" bestFit="1" customWidth="1"/>
    <col min="12051" max="12052" width="9.140625" style="87"/>
    <col min="12053" max="12053" width="16" style="87" bestFit="1" customWidth="1"/>
    <col min="12054" max="12054" width="10.5703125" style="87" bestFit="1" customWidth="1"/>
    <col min="12055" max="12055" width="9.5703125" style="87" bestFit="1" customWidth="1"/>
    <col min="12056" max="12288" width="9.140625" style="87"/>
    <col min="12289" max="12289" width="3.140625" style="87" bestFit="1" customWidth="1"/>
    <col min="12290" max="12290" width="3" style="87" bestFit="1" customWidth="1"/>
    <col min="12291" max="12291" width="7.5703125" style="87" bestFit="1" customWidth="1"/>
    <col min="12292" max="12293" width="0" style="87" hidden="1" customWidth="1"/>
    <col min="12294" max="12294" width="4" style="87" bestFit="1" customWidth="1"/>
    <col min="12295" max="12295" width="3" style="87" bestFit="1" customWidth="1"/>
    <col min="12296" max="12296" width="7.5703125" style="87" bestFit="1" customWidth="1"/>
    <col min="12297" max="12298" width="0" style="87" hidden="1" customWidth="1"/>
    <col min="12299" max="12299" width="7.5703125" style="87" bestFit="1" customWidth="1"/>
    <col min="12300" max="12303" width="0" style="87" hidden="1" customWidth="1"/>
    <col min="12304" max="12304" width="11.5703125" style="87" bestFit="1" customWidth="1"/>
    <col min="12305" max="12305" width="12.28515625" style="87" bestFit="1" customWidth="1"/>
    <col min="12306" max="12306" width="11.5703125" style="87" bestFit="1" customWidth="1"/>
    <col min="12307" max="12308" width="9.140625" style="87"/>
    <col min="12309" max="12309" width="16" style="87" bestFit="1" customWidth="1"/>
    <col min="12310" max="12310" width="10.5703125" style="87" bestFit="1" customWidth="1"/>
    <col min="12311" max="12311" width="9.5703125" style="87" bestFit="1" customWidth="1"/>
    <col min="12312" max="12544" width="9.140625" style="87"/>
    <col min="12545" max="12545" width="3.140625" style="87" bestFit="1" customWidth="1"/>
    <col min="12546" max="12546" width="3" style="87" bestFit="1" customWidth="1"/>
    <col min="12547" max="12547" width="7.5703125" style="87" bestFit="1" customWidth="1"/>
    <col min="12548" max="12549" width="0" style="87" hidden="1" customWidth="1"/>
    <col min="12550" max="12550" width="4" style="87" bestFit="1" customWidth="1"/>
    <col min="12551" max="12551" width="3" style="87" bestFit="1" customWidth="1"/>
    <col min="12552" max="12552" width="7.5703125" style="87" bestFit="1" customWidth="1"/>
    <col min="12553" max="12554" width="0" style="87" hidden="1" customWidth="1"/>
    <col min="12555" max="12555" width="7.5703125" style="87" bestFit="1" customWidth="1"/>
    <col min="12556" max="12559" width="0" style="87" hidden="1" customWidth="1"/>
    <col min="12560" max="12560" width="11.5703125" style="87" bestFit="1" customWidth="1"/>
    <col min="12561" max="12561" width="12.28515625" style="87" bestFit="1" customWidth="1"/>
    <col min="12562" max="12562" width="11.5703125" style="87" bestFit="1" customWidth="1"/>
    <col min="12563" max="12564" width="9.140625" style="87"/>
    <col min="12565" max="12565" width="16" style="87" bestFit="1" customWidth="1"/>
    <col min="12566" max="12566" width="10.5703125" style="87" bestFit="1" customWidth="1"/>
    <col min="12567" max="12567" width="9.5703125" style="87" bestFit="1" customWidth="1"/>
    <col min="12568" max="12800" width="9.140625" style="87"/>
    <col min="12801" max="12801" width="3.140625" style="87" bestFit="1" customWidth="1"/>
    <col min="12802" max="12802" width="3" style="87" bestFit="1" customWidth="1"/>
    <col min="12803" max="12803" width="7.5703125" style="87" bestFit="1" customWidth="1"/>
    <col min="12804" max="12805" width="0" style="87" hidden="1" customWidth="1"/>
    <col min="12806" max="12806" width="4" style="87" bestFit="1" customWidth="1"/>
    <col min="12807" max="12807" width="3" style="87" bestFit="1" customWidth="1"/>
    <col min="12808" max="12808" width="7.5703125" style="87" bestFit="1" customWidth="1"/>
    <col min="12809" max="12810" width="0" style="87" hidden="1" customWidth="1"/>
    <col min="12811" max="12811" width="7.5703125" style="87" bestFit="1" customWidth="1"/>
    <col min="12812" max="12815" width="0" style="87" hidden="1" customWidth="1"/>
    <col min="12816" max="12816" width="11.5703125" style="87" bestFit="1" customWidth="1"/>
    <col min="12817" max="12817" width="12.28515625" style="87" bestFit="1" customWidth="1"/>
    <col min="12818" max="12818" width="11.5703125" style="87" bestFit="1" customWidth="1"/>
    <col min="12819" max="12820" width="9.140625" style="87"/>
    <col min="12821" max="12821" width="16" style="87" bestFit="1" customWidth="1"/>
    <col min="12822" max="12822" width="10.5703125" style="87" bestFit="1" customWidth="1"/>
    <col min="12823" max="12823" width="9.5703125" style="87" bestFit="1" customWidth="1"/>
    <col min="12824" max="13056" width="9.140625" style="87"/>
    <col min="13057" max="13057" width="3.140625" style="87" bestFit="1" customWidth="1"/>
    <col min="13058" max="13058" width="3" style="87" bestFit="1" customWidth="1"/>
    <col min="13059" max="13059" width="7.5703125" style="87" bestFit="1" customWidth="1"/>
    <col min="13060" max="13061" width="0" style="87" hidden="1" customWidth="1"/>
    <col min="13062" max="13062" width="4" style="87" bestFit="1" customWidth="1"/>
    <col min="13063" max="13063" width="3" style="87" bestFit="1" customWidth="1"/>
    <col min="13064" max="13064" width="7.5703125" style="87" bestFit="1" customWidth="1"/>
    <col min="13065" max="13066" width="0" style="87" hidden="1" customWidth="1"/>
    <col min="13067" max="13067" width="7.5703125" style="87" bestFit="1" customWidth="1"/>
    <col min="13068" max="13071" width="0" style="87" hidden="1" customWidth="1"/>
    <col min="13072" max="13072" width="11.5703125" style="87" bestFit="1" customWidth="1"/>
    <col min="13073" max="13073" width="12.28515625" style="87" bestFit="1" customWidth="1"/>
    <col min="13074" max="13074" width="11.5703125" style="87" bestFit="1" customWidth="1"/>
    <col min="13075" max="13076" width="9.140625" style="87"/>
    <col min="13077" max="13077" width="16" style="87" bestFit="1" customWidth="1"/>
    <col min="13078" max="13078" width="10.5703125" style="87" bestFit="1" customWidth="1"/>
    <col min="13079" max="13079" width="9.5703125" style="87" bestFit="1" customWidth="1"/>
    <col min="13080" max="13312" width="9.140625" style="87"/>
    <col min="13313" max="13313" width="3.140625" style="87" bestFit="1" customWidth="1"/>
    <col min="13314" max="13314" width="3" style="87" bestFit="1" customWidth="1"/>
    <col min="13315" max="13315" width="7.5703125" style="87" bestFit="1" customWidth="1"/>
    <col min="13316" max="13317" width="0" style="87" hidden="1" customWidth="1"/>
    <col min="13318" max="13318" width="4" style="87" bestFit="1" customWidth="1"/>
    <col min="13319" max="13319" width="3" style="87" bestFit="1" customWidth="1"/>
    <col min="13320" max="13320" width="7.5703125" style="87" bestFit="1" customWidth="1"/>
    <col min="13321" max="13322" width="0" style="87" hidden="1" customWidth="1"/>
    <col min="13323" max="13323" width="7.5703125" style="87" bestFit="1" customWidth="1"/>
    <col min="13324" max="13327" width="0" style="87" hidden="1" customWidth="1"/>
    <col min="13328" max="13328" width="11.5703125" style="87" bestFit="1" customWidth="1"/>
    <col min="13329" max="13329" width="12.28515625" style="87" bestFit="1" customWidth="1"/>
    <col min="13330" max="13330" width="11.5703125" style="87" bestFit="1" customWidth="1"/>
    <col min="13331" max="13332" width="9.140625" style="87"/>
    <col min="13333" max="13333" width="16" style="87" bestFit="1" customWidth="1"/>
    <col min="13334" max="13334" width="10.5703125" style="87" bestFit="1" customWidth="1"/>
    <col min="13335" max="13335" width="9.5703125" style="87" bestFit="1" customWidth="1"/>
    <col min="13336" max="13568" width="9.140625" style="87"/>
    <col min="13569" max="13569" width="3.140625" style="87" bestFit="1" customWidth="1"/>
    <col min="13570" max="13570" width="3" style="87" bestFit="1" customWidth="1"/>
    <col min="13571" max="13571" width="7.5703125" style="87" bestFit="1" customWidth="1"/>
    <col min="13572" max="13573" width="0" style="87" hidden="1" customWidth="1"/>
    <col min="13574" max="13574" width="4" style="87" bestFit="1" customWidth="1"/>
    <col min="13575" max="13575" width="3" style="87" bestFit="1" customWidth="1"/>
    <col min="13576" max="13576" width="7.5703125" style="87" bestFit="1" customWidth="1"/>
    <col min="13577" max="13578" width="0" style="87" hidden="1" customWidth="1"/>
    <col min="13579" max="13579" width="7.5703125" style="87" bestFit="1" customWidth="1"/>
    <col min="13580" max="13583" width="0" style="87" hidden="1" customWidth="1"/>
    <col min="13584" max="13584" width="11.5703125" style="87" bestFit="1" customWidth="1"/>
    <col min="13585" max="13585" width="12.28515625" style="87" bestFit="1" customWidth="1"/>
    <col min="13586" max="13586" width="11.5703125" style="87" bestFit="1" customWidth="1"/>
    <col min="13587" max="13588" width="9.140625" style="87"/>
    <col min="13589" max="13589" width="16" style="87" bestFit="1" customWidth="1"/>
    <col min="13590" max="13590" width="10.5703125" style="87" bestFit="1" customWidth="1"/>
    <col min="13591" max="13591" width="9.5703125" style="87" bestFit="1" customWidth="1"/>
    <col min="13592" max="13824" width="9.140625" style="87"/>
    <col min="13825" max="13825" width="3.140625" style="87" bestFit="1" customWidth="1"/>
    <col min="13826" max="13826" width="3" style="87" bestFit="1" customWidth="1"/>
    <col min="13827" max="13827" width="7.5703125" style="87" bestFit="1" customWidth="1"/>
    <col min="13828" max="13829" width="0" style="87" hidden="1" customWidth="1"/>
    <col min="13830" max="13830" width="4" style="87" bestFit="1" customWidth="1"/>
    <col min="13831" max="13831" width="3" style="87" bestFit="1" customWidth="1"/>
    <col min="13832" max="13832" width="7.5703125" style="87" bestFit="1" customWidth="1"/>
    <col min="13833" max="13834" width="0" style="87" hidden="1" customWidth="1"/>
    <col min="13835" max="13835" width="7.5703125" style="87" bestFit="1" customWidth="1"/>
    <col min="13836" max="13839" width="0" style="87" hidden="1" customWidth="1"/>
    <col min="13840" max="13840" width="11.5703125" style="87" bestFit="1" customWidth="1"/>
    <col min="13841" max="13841" width="12.28515625" style="87" bestFit="1" customWidth="1"/>
    <col min="13842" max="13842" width="11.5703125" style="87" bestFit="1" customWidth="1"/>
    <col min="13843" max="13844" width="9.140625" style="87"/>
    <col min="13845" max="13845" width="16" style="87" bestFit="1" customWidth="1"/>
    <col min="13846" max="13846" width="10.5703125" style="87" bestFit="1" customWidth="1"/>
    <col min="13847" max="13847" width="9.5703125" style="87" bestFit="1" customWidth="1"/>
    <col min="13848" max="14080" width="9.140625" style="87"/>
    <col min="14081" max="14081" width="3.140625" style="87" bestFit="1" customWidth="1"/>
    <col min="14082" max="14082" width="3" style="87" bestFit="1" customWidth="1"/>
    <col min="14083" max="14083" width="7.5703125" style="87" bestFit="1" customWidth="1"/>
    <col min="14084" max="14085" width="0" style="87" hidden="1" customWidth="1"/>
    <col min="14086" max="14086" width="4" style="87" bestFit="1" customWidth="1"/>
    <col min="14087" max="14087" width="3" style="87" bestFit="1" customWidth="1"/>
    <col min="14088" max="14088" width="7.5703125" style="87" bestFit="1" customWidth="1"/>
    <col min="14089" max="14090" width="0" style="87" hidden="1" customWidth="1"/>
    <col min="14091" max="14091" width="7.5703125" style="87" bestFit="1" customWidth="1"/>
    <col min="14092" max="14095" width="0" style="87" hidden="1" customWidth="1"/>
    <col min="14096" max="14096" width="11.5703125" style="87" bestFit="1" customWidth="1"/>
    <col min="14097" max="14097" width="12.28515625" style="87" bestFit="1" customWidth="1"/>
    <col min="14098" max="14098" width="11.5703125" style="87" bestFit="1" customWidth="1"/>
    <col min="14099" max="14100" width="9.140625" style="87"/>
    <col min="14101" max="14101" width="16" style="87" bestFit="1" customWidth="1"/>
    <col min="14102" max="14102" width="10.5703125" style="87" bestFit="1" customWidth="1"/>
    <col min="14103" max="14103" width="9.5703125" style="87" bestFit="1" customWidth="1"/>
    <col min="14104" max="14336" width="9.140625" style="87"/>
    <col min="14337" max="14337" width="3.140625" style="87" bestFit="1" customWidth="1"/>
    <col min="14338" max="14338" width="3" style="87" bestFit="1" customWidth="1"/>
    <col min="14339" max="14339" width="7.5703125" style="87" bestFit="1" customWidth="1"/>
    <col min="14340" max="14341" width="0" style="87" hidden="1" customWidth="1"/>
    <col min="14342" max="14342" width="4" style="87" bestFit="1" customWidth="1"/>
    <col min="14343" max="14343" width="3" style="87" bestFit="1" customWidth="1"/>
    <col min="14344" max="14344" width="7.5703125" style="87" bestFit="1" customWidth="1"/>
    <col min="14345" max="14346" width="0" style="87" hidden="1" customWidth="1"/>
    <col min="14347" max="14347" width="7.5703125" style="87" bestFit="1" customWidth="1"/>
    <col min="14348" max="14351" width="0" style="87" hidden="1" customWidth="1"/>
    <col min="14352" max="14352" width="11.5703125" style="87" bestFit="1" customWidth="1"/>
    <col min="14353" max="14353" width="12.28515625" style="87" bestFit="1" customWidth="1"/>
    <col min="14354" max="14354" width="11.5703125" style="87" bestFit="1" customWidth="1"/>
    <col min="14355" max="14356" width="9.140625" style="87"/>
    <col min="14357" max="14357" width="16" style="87" bestFit="1" customWidth="1"/>
    <col min="14358" max="14358" width="10.5703125" style="87" bestFit="1" customWidth="1"/>
    <col min="14359" max="14359" width="9.5703125" style="87" bestFit="1" customWidth="1"/>
    <col min="14360" max="14592" width="9.140625" style="87"/>
    <col min="14593" max="14593" width="3.140625" style="87" bestFit="1" customWidth="1"/>
    <col min="14594" max="14594" width="3" style="87" bestFit="1" customWidth="1"/>
    <col min="14595" max="14595" width="7.5703125" style="87" bestFit="1" customWidth="1"/>
    <col min="14596" max="14597" width="0" style="87" hidden="1" customWidth="1"/>
    <col min="14598" max="14598" width="4" style="87" bestFit="1" customWidth="1"/>
    <col min="14599" max="14599" width="3" style="87" bestFit="1" customWidth="1"/>
    <col min="14600" max="14600" width="7.5703125" style="87" bestFit="1" customWidth="1"/>
    <col min="14601" max="14602" width="0" style="87" hidden="1" customWidth="1"/>
    <col min="14603" max="14603" width="7.5703125" style="87" bestFit="1" customWidth="1"/>
    <col min="14604" max="14607" width="0" style="87" hidden="1" customWidth="1"/>
    <col min="14608" max="14608" width="11.5703125" style="87" bestFit="1" customWidth="1"/>
    <col min="14609" max="14609" width="12.28515625" style="87" bestFit="1" customWidth="1"/>
    <col min="14610" max="14610" width="11.5703125" style="87" bestFit="1" customWidth="1"/>
    <col min="14611" max="14612" width="9.140625" style="87"/>
    <col min="14613" max="14613" width="16" style="87" bestFit="1" customWidth="1"/>
    <col min="14614" max="14614" width="10.5703125" style="87" bestFit="1" customWidth="1"/>
    <col min="14615" max="14615" width="9.5703125" style="87" bestFit="1" customWidth="1"/>
    <col min="14616" max="14848" width="9.140625" style="87"/>
    <col min="14849" max="14849" width="3.140625" style="87" bestFit="1" customWidth="1"/>
    <col min="14850" max="14850" width="3" style="87" bestFit="1" customWidth="1"/>
    <col min="14851" max="14851" width="7.5703125" style="87" bestFit="1" customWidth="1"/>
    <col min="14852" max="14853" width="0" style="87" hidden="1" customWidth="1"/>
    <col min="14854" max="14854" width="4" style="87" bestFit="1" customWidth="1"/>
    <col min="14855" max="14855" width="3" style="87" bestFit="1" customWidth="1"/>
    <col min="14856" max="14856" width="7.5703125" style="87" bestFit="1" customWidth="1"/>
    <col min="14857" max="14858" width="0" style="87" hidden="1" customWidth="1"/>
    <col min="14859" max="14859" width="7.5703125" style="87" bestFit="1" customWidth="1"/>
    <col min="14860" max="14863" width="0" style="87" hidden="1" customWidth="1"/>
    <col min="14864" max="14864" width="11.5703125" style="87" bestFit="1" customWidth="1"/>
    <col min="14865" max="14865" width="12.28515625" style="87" bestFit="1" customWidth="1"/>
    <col min="14866" max="14866" width="11.5703125" style="87" bestFit="1" customWidth="1"/>
    <col min="14867" max="14868" width="9.140625" style="87"/>
    <col min="14869" max="14869" width="16" style="87" bestFit="1" customWidth="1"/>
    <col min="14870" max="14870" width="10.5703125" style="87" bestFit="1" customWidth="1"/>
    <col min="14871" max="14871" width="9.5703125" style="87" bestFit="1" customWidth="1"/>
    <col min="14872" max="15104" width="9.140625" style="87"/>
    <col min="15105" max="15105" width="3.140625" style="87" bestFit="1" customWidth="1"/>
    <col min="15106" max="15106" width="3" style="87" bestFit="1" customWidth="1"/>
    <col min="15107" max="15107" width="7.5703125" style="87" bestFit="1" customWidth="1"/>
    <col min="15108" max="15109" width="0" style="87" hidden="1" customWidth="1"/>
    <col min="15110" max="15110" width="4" style="87" bestFit="1" customWidth="1"/>
    <col min="15111" max="15111" width="3" style="87" bestFit="1" customWidth="1"/>
    <col min="15112" max="15112" width="7.5703125" style="87" bestFit="1" customWidth="1"/>
    <col min="15113" max="15114" width="0" style="87" hidden="1" customWidth="1"/>
    <col min="15115" max="15115" width="7.5703125" style="87" bestFit="1" customWidth="1"/>
    <col min="15116" max="15119" width="0" style="87" hidden="1" customWidth="1"/>
    <col min="15120" max="15120" width="11.5703125" style="87" bestFit="1" customWidth="1"/>
    <col min="15121" max="15121" width="12.28515625" style="87" bestFit="1" customWidth="1"/>
    <col min="15122" max="15122" width="11.5703125" style="87" bestFit="1" customWidth="1"/>
    <col min="15123" max="15124" width="9.140625" style="87"/>
    <col min="15125" max="15125" width="16" style="87" bestFit="1" customWidth="1"/>
    <col min="15126" max="15126" width="10.5703125" style="87" bestFit="1" customWidth="1"/>
    <col min="15127" max="15127" width="9.5703125" style="87" bestFit="1" customWidth="1"/>
    <col min="15128" max="15360" width="9.140625" style="87"/>
    <col min="15361" max="15361" width="3.140625" style="87" bestFit="1" customWidth="1"/>
    <col min="15362" max="15362" width="3" style="87" bestFit="1" customWidth="1"/>
    <col min="15363" max="15363" width="7.5703125" style="87" bestFit="1" customWidth="1"/>
    <col min="15364" max="15365" width="0" style="87" hidden="1" customWidth="1"/>
    <col min="15366" max="15366" width="4" style="87" bestFit="1" customWidth="1"/>
    <col min="15367" max="15367" width="3" style="87" bestFit="1" customWidth="1"/>
    <col min="15368" max="15368" width="7.5703125" style="87" bestFit="1" customWidth="1"/>
    <col min="15369" max="15370" width="0" style="87" hidden="1" customWidth="1"/>
    <col min="15371" max="15371" width="7.5703125" style="87" bestFit="1" customWidth="1"/>
    <col min="15372" max="15375" width="0" style="87" hidden="1" customWidth="1"/>
    <col min="15376" max="15376" width="11.5703125" style="87" bestFit="1" customWidth="1"/>
    <col min="15377" max="15377" width="12.28515625" style="87" bestFit="1" customWidth="1"/>
    <col min="15378" max="15378" width="11.5703125" style="87" bestFit="1" customWidth="1"/>
    <col min="15379" max="15380" width="9.140625" style="87"/>
    <col min="15381" max="15381" width="16" style="87" bestFit="1" customWidth="1"/>
    <col min="15382" max="15382" width="10.5703125" style="87" bestFit="1" customWidth="1"/>
    <col min="15383" max="15383" width="9.5703125" style="87" bestFit="1" customWidth="1"/>
    <col min="15384" max="15616" width="9.140625" style="87"/>
    <col min="15617" max="15617" width="3.140625" style="87" bestFit="1" customWidth="1"/>
    <col min="15618" max="15618" width="3" style="87" bestFit="1" customWidth="1"/>
    <col min="15619" max="15619" width="7.5703125" style="87" bestFit="1" customWidth="1"/>
    <col min="15620" max="15621" width="0" style="87" hidden="1" customWidth="1"/>
    <col min="15622" max="15622" width="4" style="87" bestFit="1" customWidth="1"/>
    <col min="15623" max="15623" width="3" style="87" bestFit="1" customWidth="1"/>
    <col min="15624" max="15624" width="7.5703125" style="87" bestFit="1" customWidth="1"/>
    <col min="15625" max="15626" width="0" style="87" hidden="1" customWidth="1"/>
    <col min="15627" max="15627" width="7.5703125" style="87" bestFit="1" customWidth="1"/>
    <col min="15628" max="15631" width="0" style="87" hidden="1" customWidth="1"/>
    <col min="15632" max="15632" width="11.5703125" style="87" bestFit="1" customWidth="1"/>
    <col min="15633" max="15633" width="12.28515625" style="87" bestFit="1" customWidth="1"/>
    <col min="15634" max="15634" width="11.5703125" style="87" bestFit="1" customWidth="1"/>
    <col min="15635" max="15636" width="9.140625" style="87"/>
    <col min="15637" max="15637" width="16" style="87" bestFit="1" customWidth="1"/>
    <col min="15638" max="15638" width="10.5703125" style="87" bestFit="1" customWidth="1"/>
    <col min="15639" max="15639" width="9.5703125" style="87" bestFit="1" customWidth="1"/>
    <col min="15640" max="15872" width="9.140625" style="87"/>
    <col min="15873" max="15873" width="3.140625" style="87" bestFit="1" customWidth="1"/>
    <col min="15874" max="15874" width="3" style="87" bestFit="1" customWidth="1"/>
    <col min="15875" max="15875" width="7.5703125" style="87" bestFit="1" customWidth="1"/>
    <col min="15876" max="15877" width="0" style="87" hidden="1" customWidth="1"/>
    <col min="15878" max="15878" width="4" style="87" bestFit="1" customWidth="1"/>
    <col min="15879" max="15879" width="3" style="87" bestFit="1" customWidth="1"/>
    <col min="15880" max="15880" width="7.5703125" style="87" bestFit="1" customWidth="1"/>
    <col min="15881" max="15882" width="0" style="87" hidden="1" customWidth="1"/>
    <col min="15883" max="15883" width="7.5703125" style="87" bestFit="1" customWidth="1"/>
    <col min="15884" max="15887" width="0" style="87" hidden="1" customWidth="1"/>
    <col min="15888" max="15888" width="11.5703125" style="87" bestFit="1" customWidth="1"/>
    <col min="15889" max="15889" width="12.28515625" style="87" bestFit="1" customWidth="1"/>
    <col min="15890" max="15890" width="11.5703125" style="87" bestFit="1" customWidth="1"/>
    <col min="15891" max="15892" width="9.140625" style="87"/>
    <col min="15893" max="15893" width="16" style="87" bestFit="1" customWidth="1"/>
    <col min="15894" max="15894" width="10.5703125" style="87" bestFit="1" customWidth="1"/>
    <col min="15895" max="15895" width="9.5703125" style="87" bestFit="1" customWidth="1"/>
    <col min="15896" max="16128" width="9.140625" style="87"/>
    <col min="16129" max="16129" width="3.140625" style="87" bestFit="1" customWidth="1"/>
    <col min="16130" max="16130" width="3" style="87" bestFit="1" customWidth="1"/>
    <col min="16131" max="16131" width="7.5703125" style="87" bestFit="1" customWidth="1"/>
    <col min="16132" max="16133" width="0" style="87" hidden="1" customWidth="1"/>
    <col min="16134" max="16134" width="4" style="87" bestFit="1" customWidth="1"/>
    <col min="16135" max="16135" width="3" style="87" bestFit="1" customWidth="1"/>
    <col min="16136" max="16136" width="7.5703125" style="87" bestFit="1" customWidth="1"/>
    <col min="16137" max="16138" width="0" style="87" hidden="1" customWidth="1"/>
    <col min="16139" max="16139" width="7.5703125" style="87" bestFit="1" customWidth="1"/>
    <col min="16140" max="16143" width="0" style="87" hidden="1" customWidth="1"/>
    <col min="16144" max="16144" width="11.5703125" style="87" bestFit="1" customWidth="1"/>
    <col min="16145" max="16145" width="12.28515625" style="87" bestFit="1" customWidth="1"/>
    <col min="16146" max="16146" width="11.5703125" style="87" bestFit="1" customWidth="1"/>
    <col min="16147" max="16148" width="9.140625" style="87"/>
    <col min="16149" max="16149" width="16" style="87" bestFit="1" customWidth="1"/>
    <col min="16150" max="16150" width="10.5703125" style="87" bestFit="1" customWidth="1"/>
    <col min="16151" max="16151" width="9.5703125" style="87" bestFit="1" customWidth="1"/>
    <col min="16152" max="16384" width="9.140625" style="87"/>
  </cols>
  <sheetData>
    <row r="1" spans="1:23" ht="69" customHeight="1" x14ac:dyDescent="0.2">
      <c r="A1" s="111" t="s">
        <v>106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85" t="s">
        <v>107</v>
      </c>
      <c r="R1" s="86">
        <v>1</v>
      </c>
    </row>
    <row r="2" spans="1:23" x14ac:dyDescent="0.2">
      <c r="A2" s="88" t="s">
        <v>52</v>
      </c>
      <c r="B2" s="88" t="s">
        <v>53</v>
      </c>
      <c r="C2" s="88" t="s">
        <v>54</v>
      </c>
      <c r="D2" s="88" t="s">
        <v>55</v>
      </c>
      <c r="E2" s="88" t="s">
        <v>51</v>
      </c>
      <c r="F2" s="88" t="s">
        <v>108</v>
      </c>
      <c r="G2" s="88" t="s">
        <v>60</v>
      </c>
      <c r="H2" s="88" t="s">
        <v>61</v>
      </c>
      <c r="I2" s="88" t="s">
        <v>58</v>
      </c>
      <c r="J2" s="88" t="s">
        <v>57</v>
      </c>
      <c r="K2" s="88" t="s">
        <v>109</v>
      </c>
      <c r="L2" s="88" t="s">
        <v>33</v>
      </c>
      <c r="M2" s="88" t="s">
        <v>9</v>
      </c>
      <c r="N2" s="88" t="s">
        <v>35</v>
      </c>
      <c r="O2" s="88" t="s">
        <v>37</v>
      </c>
      <c r="P2" s="88" t="s">
        <v>110</v>
      </c>
      <c r="Q2" s="88" t="s">
        <v>111</v>
      </c>
      <c r="R2" s="88" t="s">
        <v>112</v>
      </c>
      <c r="T2" s="87" t="s">
        <v>113</v>
      </c>
    </row>
    <row r="3" spans="1:23" x14ac:dyDescent="0.2">
      <c r="A3" s="89">
        <v>55</v>
      </c>
      <c r="B3" s="89">
        <v>23</v>
      </c>
      <c r="C3" s="90">
        <v>53.082372631196222</v>
      </c>
      <c r="D3" s="89">
        <f>A3+B3/60+C3/3600</f>
        <v>55.398078436841999</v>
      </c>
      <c r="E3" s="89">
        <f>RADIANS(D3)</f>
        <v>0.96687886800096645</v>
      </c>
      <c r="F3" s="89">
        <v>37</v>
      </c>
      <c r="G3" s="89">
        <v>14</v>
      </c>
      <c r="H3" s="90">
        <v>28.239629167499061</v>
      </c>
      <c r="I3" s="89">
        <f>F3+G3/60+H3/3600</f>
        <v>37.24117767476875</v>
      </c>
      <c r="J3" s="89">
        <f>RADIANS(I3)</f>
        <v>0.64998116774492065</v>
      </c>
      <c r="K3" s="91">
        <v>150</v>
      </c>
      <c r="L3" s="88">
        <f>VLOOKUP($R$1,$T$4:$W$50,3,0)</f>
        <v>6378245</v>
      </c>
      <c r="M3" s="88">
        <f>VLOOKUP($R$1,$T$4:$W$50,4,0)</f>
        <v>3.352329869259135E-3</v>
      </c>
      <c r="N3" s="88">
        <f>2*M3-M3^2</f>
        <v>6.6934216229659433E-3</v>
      </c>
      <c r="O3" s="88">
        <f>L3/((1-N3*(SIN(E3))^2)^0.5)</f>
        <v>6392756.8597537633</v>
      </c>
      <c r="P3" s="92">
        <f>(O3+K3)*COS(E3)*COS(J3)</f>
        <v>2890103.1209565382</v>
      </c>
      <c r="Q3" s="92">
        <f>(O3+K3)*COS(E3)*SIN(J3)</f>
        <v>2196983.2265322176</v>
      </c>
      <c r="R3" s="92">
        <f>((1-N3)*O3+K3)*SIN(E3)</f>
        <v>5226891.676270063</v>
      </c>
      <c r="T3" s="93" t="s">
        <v>6</v>
      </c>
      <c r="U3" s="88" t="s">
        <v>114</v>
      </c>
      <c r="V3" s="88" t="s">
        <v>33</v>
      </c>
      <c r="W3" s="88" t="s">
        <v>9</v>
      </c>
    </row>
    <row r="4" spans="1:23" x14ac:dyDescent="0.2">
      <c r="A4" s="89">
        <v>55</v>
      </c>
      <c r="B4" s="89">
        <v>23</v>
      </c>
      <c r="C4" s="90">
        <v>47.230945974372389</v>
      </c>
      <c r="D4" s="89">
        <f>A4+B4/60+C4/3600</f>
        <v>55.396453040548437</v>
      </c>
      <c r="E4" s="89">
        <f>RADIANS(D4)</f>
        <v>0.96685049948399404</v>
      </c>
      <c r="F4" s="89">
        <v>37</v>
      </c>
      <c r="G4" s="89">
        <v>14</v>
      </c>
      <c r="H4" s="90">
        <v>52.134326605849992</v>
      </c>
      <c r="I4" s="89">
        <f>F4+G4/60+H4/3600</f>
        <v>37.247815090723847</v>
      </c>
      <c r="J4" s="89">
        <f>RADIANS(I4)</f>
        <v>0.65009701250716156</v>
      </c>
      <c r="K4" s="91">
        <v>150</v>
      </c>
      <c r="L4" s="88">
        <f>VLOOKUP($R$1,$T$4:$W$50,3,0)</f>
        <v>6378245</v>
      </c>
      <c r="M4" s="88">
        <f>VLOOKUP($R$1,$T$4:$W$50,4,0)</f>
        <v>3.352329869259135E-3</v>
      </c>
      <c r="N4" s="88">
        <f>2*M4-M4^2</f>
        <v>6.6934216229659433E-3</v>
      </c>
      <c r="O4" s="88">
        <f>L4/((1-N4*(SIN(E4))^2)^0.5)</f>
        <v>6392756.2897689249</v>
      </c>
      <c r="P4" s="92">
        <f>(O4+K4)*COS(E4)*COS(J4)</f>
        <v>2889967.1630265405</v>
      </c>
      <c r="Q4" s="92">
        <f>(O4+K4)*COS(E4)*SIN(J4)</f>
        <v>2197408.1710368455</v>
      </c>
      <c r="R4" s="92">
        <f>((1-N4)*O4+K4)*SIN(E4)</f>
        <v>5226788.9098677933</v>
      </c>
      <c r="T4" s="94">
        <v>1</v>
      </c>
      <c r="U4" s="89" t="s">
        <v>115</v>
      </c>
      <c r="V4" s="95">
        <v>6378245</v>
      </c>
      <c r="W4" s="96">
        <f>1/298.3</f>
        <v>3.352329869259135E-3</v>
      </c>
    </row>
    <row r="5" spans="1:23" x14ac:dyDescent="0.2">
      <c r="A5" s="89">
        <v>55</v>
      </c>
      <c r="B5" s="89">
        <v>23</v>
      </c>
      <c r="C5" s="90">
        <v>53.169499999999999</v>
      </c>
      <c r="D5" s="89">
        <f>A5+B5/60+C5/3600</f>
        <v>55.398102638888886</v>
      </c>
      <c r="E5" s="89">
        <f>RADIANS(D5)</f>
        <v>0.96687929040637033</v>
      </c>
      <c r="F5" s="89">
        <v>37</v>
      </c>
      <c r="G5" s="89">
        <v>14</v>
      </c>
      <c r="H5" s="90">
        <v>21.542200000000001</v>
      </c>
      <c r="I5" s="89">
        <f>F5+G5/60+H5/3600</f>
        <v>37.239317277777779</v>
      </c>
      <c r="J5" s="89">
        <f>RADIANS(I5)</f>
        <v>0.64994869769203401</v>
      </c>
      <c r="K5" s="91">
        <v>154.07903916761279</v>
      </c>
      <c r="L5" s="88">
        <f>VLOOKUP($R$1,$T$4:$W$50,3,0)</f>
        <v>6378245</v>
      </c>
      <c r="M5" s="88">
        <f>VLOOKUP($R$1,$T$4:$W$50,4,0)</f>
        <v>3.352329869259135E-3</v>
      </c>
      <c r="N5" s="88">
        <f>2*M5-M5^2</f>
        <v>6.6934216229659433E-3</v>
      </c>
      <c r="O5" s="88">
        <f>L5/((1-N5*(SIN(E5))^2)^0.5)</f>
        <v>6392756.8682407094</v>
      </c>
      <c r="P5" s="92">
        <f>(O5+K5)*COS(E5)*COS(J5)</f>
        <v>2890174.533966112</v>
      </c>
      <c r="Q5" s="92">
        <f>(O5+K5)*COS(E5)*SIN(J5)</f>
        <v>2196889.4431449599</v>
      </c>
      <c r="R5" s="92">
        <f>((1-N5)*O5+K5)*SIN(E5)</f>
        <v>5226896.5639522839</v>
      </c>
      <c r="T5" s="94">
        <v>2</v>
      </c>
      <c r="U5" s="89" t="s">
        <v>116</v>
      </c>
      <c r="V5" s="95">
        <v>6378137</v>
      </c>
      <c r="W5" s="96">
        <f>1/298.257223563</f>
        <v>3.3528106647474805E-3</v>
      </c>
    </row>
    <row r="6" spans="1:23" x14ac:dyDescent="0.2">
      <c r="A6" s="89">
        <v>55</v>
      </c>
      <c r="B6" s="89">
        <v>23</v>
      </c>
      <c r="C6" s="90">
        <v>47.318300000000001</v>
      </c>
      <c r="D6" s="89">
        <f>A6+B6/60+C6/3600</f>
        <v>55.396477305555557</v>
      </c>
      <c r="E6" s="89">
        <f>RADIANS(D6)</f>
        <v>0.96685092298826136</v>
      </c>
      <c r="F6" s="89">
        <v>37</v>
      </c>
      <c r="G6" s="89">
        <v>14</v>
      </c>
      <c r="H6" s="90">
        <v>45.437600000000003</v>
      </c>
      <c r="I6" s="89">
        <f>F6+G6/60+H6/3600</f>
        <v>37.245954888888889</v>
      </c>
      <c r="J6" s="89">
        <f>RADIANS(I6)</f>
        <v>0.65006454586038986</v>
      </c>
      <c r="K6" s="91">
        <v>154.07036972325295</v>
      </c>
      <c r="L6" s="88">
        <f>VLOOKUP($R$1,$T$4:$W$50,3,0)</f>
        <v>6378245</v>
      </c>
      <c r="M6" s="88">
        <f>VLOOKUP($R$1,$T$4:$W$50,4,0)</f>
        <v>3.352329869259135E-3</v>
      </c>
      <c r="N6" s="88">
        <f>2*M6-M6^2</f>
        <v>6.6934216229659433E-3</v>
      </c>
      <c r="O6" s="88">
        <f>L6/((1-N6*(SIN(E6))^2)^0.5)</f>
        <v>6392756.2982781306</v>
      </c>
      <c r="P6" s="92">
        <f>(O6+K6)*COS(E6)*COS(J6)</f>
        <v>2890038.5739416718</v>
      </c>
      <c r="Q6" s="92">
        <f>(O6+K6)*COS(E6)*SIN(J6)</f>
        <v>2197314.3955292641</v>
      </c>
      <c r="R6" s="92">
        <f>((1-N6)*O6+K6)*SIN(E6)</f>
        <v>5226793.7943917485</v>
      </c>
      <c r="T6" s="94">
        <v>3</v>
      </c>
      <c r="U6" s="89" t="s">
        <v>117</v>
      </c>
      <c r="V6" s="95">
        <v>6377397.1550000003</v>
      </c>
      <c r="W6" s="96">
        <f>1/299.1528128</f>
        <v>3.3427731821748059E-3</v>
      </c>
    </row>
    <row r="7" spans="1:23" x14ac:dyDescent="0.2">
      <c r="T7" s="89">
        <v>4</v>
      </c>
      <c r="U7" s="89" t="s">
        <v>104</v>
      </c>
      <c r="V7" s="95">
        <v>6378136</v>
      </c>
      <c r="W7" s="96">
        <f>1/298.25784</f>
        <v>3.3528037351842955E-3</v>
      </c>
    </row>
    <row r="8" spans="1:23" x14ac:dyDescent="0.2">
      <c r="P8" s="97"/>
      <c r="Q8" s="97"/>
      <c r="R8" s="97"/>
      <c r="T8" s="89">
        <v>5</v>
      </c>
      <c r="U8" s="89"/>
      <c r="V8" s="89"/>
      <c r="W8" s="89"/>
    </row>
    <row r="9" spans="1:23" x14ac:dyDescent="0.2">
      <c r="P9" s="97"/>
      <c r="Q9" s="97"/>
      <c r="R9" s="97"/>
      <c r="T9" s="89">
        <v>6</v>
      </c>
      <c r="U9" s="89"/>
      <c r="V9" s="89"/>
      <c r="W9" s="89"/>
    </row>
    <row r="10" spans="1:23" x14ac:dyDescent="0.2">
      <c r="T10" s="89">
        <v>7</v>
      </c>
      <c r="U10" s="89"/>
      <c r="V10" s="89"/>
      <c r="W10" s="89"/>
    </row>
    <row r="11" spans="1:23" x14ac:dyDescent="0.2">
      <c r="T11" s="89">
        <v>8</v>
      </c>
      <c r="U11" s="89"/>
      <c r="V11" s="89"/>
      <c r="W11" s="89"/>
    </row>
    <row r="12" spans="1:23" x14ac:dyDescent="0.2">
      <c r="T12" s="89">
        <v>9</v>
      </c>
      <c r="U12" s="89"/>
      <c r="V12" s="89"/>
      <c r="W12" s="89"/>
    </row>
    <row r="13" spans="1:23" x14ac:dyDescent="0.2">
      <c r="T13" s="89">
        <v>10</v>
      </c>
      <c r="U13" s="89"/>
      <c r="V13" s="89"/>
      <c r="W13" s="89"/>
    </row>
    <row r="14" spans="1:23" x14ac:dyDescent="0.2">
      <c r="T14" s="89">
        <v>11</v>
      </c>
      <c r="U14" s="89"/>
      <c r="V14" s="89"/>
      <c r="W14" s="89"/>
    </row>
    <row r="15" spans="1:23" x14ac:dyDescent="0.2">
      <c r="T15" s="89">
        <v>12</v>
      </c>
      <c r="U15" s="89"/>
      <c r="V15" s="89"/>
      <c r="W15" s="89"/>
    </row>
    <row r="16" spans="1:23" x14ac:dyDescent="0.2">
      <c r="T16" s="89">
        <v>13</v>
      </c>
      <c r="U16" s="89"/>
      <c r="V16" s="89"/>
      <c r="W16" s="89"/>
    </row>
    <row r="17" spans="20:23" x14ac:dyDescent="0.2">
      <c r="T17" s="89">
        <v>14</v>
      </c>
      <c r="U17" s="89"/>
      <c r="V17" s="89"/>
      <c r="W17" s="89"/>
    </row>
    <row r="18" spans="20:23" x14ac:dyDescent="0.2">
      <c r="T18" s="89">
        <v>15</v>
      </c>
      <c r="U18" s="89"/>
      <c r="V18" s="89"/>
      <c r="W18" s="89"/>
    </row>
  </sheetData>
  <mergeCells count="1">
    <mergeCell ref="A1:P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AA1"/>
    </sheetView>
  </sheetViews>
  <sheetFormatPr defaultRowHeight="12.75" x14ac:dyDescent="0.2"/>
  <cols>
    <col min="1" max="3" width="11.5703125" style="87" bestFit="1" customWidth="1"/>
    <col min="4" max="4" width="12" style="87" hidden="1" customWidth="1"/>
    <col min="5" max="5" width="8" style="87" bestFit="1" customWidth="1"/>
    <col min="6" max="6" width="11" style="87" bestFit="1" customWidth="1"/>
    <col min="7" max="7" width="12" style="87" hidden="1" customWidth="1"/>
    <col min="8" max="10" width="11" style="87" hidden="1" customWidth="1"/>
    <col min="11" max="13" width="12" style="87" hidden="1" customWidth="1"/>
    <col min="14" max="14" width="2" style="87" hidden="1" customWidth="1"/>
    <col min="15" max="15" width="12" style="87" hidden="1" customWidth="1"/>
    <col min="16" max="16" width="3.140625" style="87" bestFit="1" customWidth="1"/>
    <col min="17" max="17" width="3" style="87" bestFit="1" customWidth="1"/>
    <col min="18" max="18" width="7.5703125" style="87" bestFit="1" customWidth="1"/>
    <col min="19" max="21" width="0" style="87" hidden="1" customWidth="1"/>
    <col min="22" max="22" width="12" style="87" hidden="1" customWidth="1"/>
    <col min="23" max="23" width="3.28515625" style="87" bestFit="1" customWidth="1"/>
    <col min="24" max="24" width="3" style="87" bestFit="1" customWidth="1"/>
    <col min="25" max="25" width="7.5703125" style="87" bestFit="1" customWidth="1"/>
    <col min="26" max="26" width="0" style="87" hidden="1" customWidth="1"/>
    <col min="27" max="27" width="7.5703125" style="87" bestFit="1" customWidth="1"/>
    <col min="28" max="256" width="9.140625" style="87"/>
    <col min="257" max="259" width="11.5703125" style="87" bestFit="1" customWidth="1"/>
    <col min="260" max="260" width="0" style="87" hidden="1" customWidth="1"/>
    <col min="261" max="261" width="8" style="87" bestFit="1" customWidth="1"/>
    <col min="262" max="262" width="11" style="87" bestFit="1" customWidth="1"/>
    <col min="263" max="271" width="0" style="87" hidden="1" customWidth="1"/>
    <col min="272" max="272" width="3.140625" style="87" bestFit="1" customWidth="1"/>
    <col min="273" max="273" width="3" style="87" bestFit="1" customWidth="1"/>
    <col min="274" max="274" width="7.5703125" style="87" bestFit="1" customWidth="1"/>
    <col min="275" max="278" width="0" style="87" hidden="1" customWidth="1"/>
    <col min="279" max="279" width="3.28515625" style="87" bestFit="1" customWidth="1"/>
    <col min="280" max="280" width="3" style="87" bestFit="1" customWidth="1"/>
    <col min="281" max="281" width="7.5703125" style="87" bestFit="1" customWidth="1"/>
    <col min="282" max="282" width="0" style="87" hidden="1" customWidth="1"/>
    <col min="283" max="283" width="7.5703125" style="87" bestFit="1" customWidth="1"/>
    <col min="284" max="512" width="9.140625" style="87"/>
    <col min="513" max="515" width="11.5703125" style="87" bestFit="1" customWidth="1"/>
    <col min="516" max="516" width="0" style="87" hidden="1" customWidth="1"/>
    <col min="517" max="517" width="8" style="87" bestFit="1" customWidth="1"/>
    <col min="518" max="518" width="11" style="87" bestFit="1" customWidth="1"/>
    <col min="519" max="527" width="0" style="87" hidden="1" customWidth="1"/>
    <col min="528" max="528" width="3.140625" style="87" bestFit="1" customWidth="1"/>
    <col min="529" max="529" width="3" style="87" bestFit="1" customWidth="1"/>
    <col min="530" max="530" width="7.5703125" style="87" bestFit="1" customWidth="1"/>
    <col min="531" max="534" width="0" style="87" hidden="1" customWidth="1"/>
    <col min="535" max="535" width="3.28515625" style="87" bestFit="1" customWidth="1"/>
    <col min="536" max="536" width="3" style="87" bestFit="1" customWidth="1"/>
    <col min="537" max="537" width="7.5703125" style="87" bestFit="1" customWidth="1"/>
    <col min="538" max="538" width="0" style="87" hidden="1" customWidth="1"/>
    <col min="539" max="539" width="7.5703125" style="87" bestFit="1" customWidth="1"/>
    <col min="540" max="768" width="9.140625" style="87"/>
    <col min="769" max="771" width="11.5703125" style="87" bestFit="1" customWidth="1"/>
    <col min="772" max="772" width="0" style="87" hidden="1" customWidth="1"/>
    <col min="773" max="773" width="8" style="87" bestFit="1" customWidth="1"/>
    <col min="774" max="774" width="11" style="87" bestFit="1" customWidth="1"/>
    <col min="775" max="783" width="0" style="87" hidden="1" customWidth="1"/>
    <col min="784" max="784" width="3.140625" style="87" bestFit="1" customWidth="1"/>
    <col min="785" max="785" width="3" style="87" bestFit="1" customWidth="1"/>
    <col min="786" max="786" width="7.5703125" style="87" bestFit="1" customWidth="1"/>
    <col min="787" max="790" width="0" style="87" hidden="1" customWidth="1"/>
    <col min="791" max="791" width="3.28515625" style="87" bestFit="1" customWidth="1"/>
    <col min="792" max="792" width="3" style="87" bestFit="1" customWidth="1"/>
    <col min="793" max="793" width="7.5703125" style="87" bestFit="1" customWidth="1"/>
    <col min="794" max="794" width="0" style="87" hidden="1" customWidth="1"/>
    <col min="795" max="795" width="7.5703125" style="87" bestFit="1" customWidth="1"/>
    <col min="796" max="1024" width="9.140625" style="87"/>
    <col min="1025" max="1027" width="11.5703125" style="87" bestFit="1" customWidth="1"/>
    <col min="1028" max="1028" width="0" style="87" hidden="1" customWidth="1"/>
    <col min="1029" max="1029" width="8" style="87" bestFit="1" customWidth="1"/>
    <col min="1030" max="1030" width="11" style="87" bestFit="1" customWidth="1"/>
    <col min="1031" max="1039" width="0" style="87" hidden="1" customWidth="1"/>
    <col min="1040" max="1040" width="3.140625" style="87" bestFit="1" customWidth="1"/>
    <col min="1041" max="1041" width="3" style="87" bestFit="1" customWidth="1"/>
    <col min="1042" max="1042" width="7.5703125" style="87" bestFit="1" customWidth="1"/>
    <col min="1043" max="1046" width="0" style="87" hidden="1" customWidth="1"/>
    <col min="1047" max="1047" width="3.28515625" style="87" bestFit="1" customWidth="1"/>
    <col min="1048" max="1048" width="3" style="87" bestFit="1" customWidth="1"/>
    <col min="1049" max="1049" width="7.5703125" style="87" bestFit="1" customWidth="1"/>
    <col min="1050" max="1050" width="0" style="87" hidden="1" customWidth="1"/>
    <col min="1051" max="1051" width="7.5703125" style="87" bestFit="1" customWidth="1"/>
    <col min="1052" max="1280" width="9.140625" style="87"/>
    <col min="1281" max="1283" width="11.5703125" style="87" bestFit="1" customWidth="1"/>
    <col min="1284" max="1284" width="0" style="87" hidden="1" customWidth="1"/>
    <col min="1285" max="1285" width="8" style="87" bestFit="1" customWidth="1"/>
    <col min="1286" max="1286" width="11" style="87" bestFit="1" customWidth="1"/>
    <col min="1287" max="1295" width="0" style="87" hidden="1" customWidth="1"/>
    <col min="1296" max="1296" width="3.140625" style="87" bestFit="1" customWidth="1"/>
    <col min="1297" max="1297" width="3" style="87" bestFit="1" customWidth="1"/>
    <col min="1298" max="1298" width="7.5703125" style="87" bestFit="1" customWidth="1"/>
    <col min="1299" max="1302" width="0" style="87" hidden="1" customWidth="1"/>
    <col min="1303" max="1303" width="3.28515625" style="87" bestFit="1" customWidth="1"/>
    <col min="1304" max="1304" width="3" style="87" bestFit="1" customWidth="1"/>
    <col min="1305" max="1305" width="7.5703125" style="87" bestFit="1" customWidth="1"/>
    <col min="1306" max="1306" width="0" style="87" hidden="1" customWidth="1"/>
    <col min="1307" max="1307" width="7.5703125" style="87" bestFit="1" customWidth="1"/>
    <col min="1308" max="1536" width="9.140625" style="87"/>
    <col min="1537" max="1539" width="11.5703125" style="87" bestFit="1" customWidth="1"/>
    <col min="1540" max="1540" width="0" style="87" hidden="1" customWidth="1"/>
    <col min="1541" max="1541" width="8" style="87" bestFit="1" customWidth="1"/>
    <col min="1542" max="1542" width="11" style="87" bestFit="1" customWidth="1"/>
    <col min="1543" max="1551" width="0" style="87" hidden="1" customWidth="1"/>
    <col min="1552" max="1552" width="3.140625" style="87" bestFit="1" customWidth="1"/>
    <col min="1553" max="1553" width="3" style="87" bestFit="1" customWidth="1"/>
    <col min="1554" max="1554" width="7.5703125" style="87" bestFit="1" customWidth="1"/>
    <col min="1555" max="1558" width="0" style="87" hidden="1" customWidth="1"/>
    <col min="1559" max="1559" width="3.28515625" style="87" bestFit="1" customWidth="1"/>
    <col min="1560" max="1560" width="3" style="87" bestFit="1" customWidth="1"/>
    <col min="1561" max="1561" width="7.5703125" style="87" bestFit="1" customWidth="1"/>
    <col min="1562" max="1562" width="0" style="87" hidden="1" customWidth="1"/>
    <col min="1563" max="1563" width="7.5703125" style="87" bestFit="1" customWidth="1"/>
    <col min="1564" max="1792" width="9.140625" style="87"/>
    <col min="1793" max="1795" width="11.5703125" style="87" bestFit="1" customWidth="1"/>
    <col min="1796" max="1796" width="0" style="87" hidden="1" customWidth="1"/>
    <col min="1797" max="1797" width="8" style="87" bestFit="1" customWidth="1"/>
    <col min="1798" max="1798" width="11" style="87" bestFit="1" customWidth="1"/>
    <col min="1799" max="1807" width="0" style="87" hidden="1" customWidth="1"/>
    <col min="1808" max="1808" width="3.140625" style="87" bestFit="1" customWidth="1"/>
    <col min="1809" max="1809" width="3" style="87" bestFit="1" customWidth="1"/>
    <col min="1810" max="1810" width="7.5703125" style="87" bestFit="1" customWidth="1"/>
    <col min="1811" max="1814" width="0" style="87" hidden="1" customWidth="1"/>
    <col min="1815" max="1815" width="3.28515625" style="87" bestFit="1" customWidth="1"/>
    <col min="1816" max="1816" width="3" style="87" bestFit="1" customWidth="1"/>
    <col min="1817" max="1817" width="7.5703125" style="87" bestFit="1" customWidth="1"/>
    <col min="1818" max="1818" width="0" style="87" hidden="1" customWidth="1"/>
    <col min="1819" max="1819" width="7.5703125" style="87" bestFit="1" customWidth="1"/>
    <col min="1820" max="2048" width="9.140625" style="87"/>
    <col min="2049" max="2051" width="11.5703125" style="87" bestFit="1" customWidth="1"/>
    <col min="2052" max="2052" width="0" style="87" hidden="1" customWidth="1"/>
    <col min="2053" max="2053" width="8" style="87" bestFit="1" customWidth="1"/>
    <col min="2054" max="2054" width="11" style="87" bestFit="1" customWidth="1"/>
    <col min="2055" max="2063" width="0" style="87" hidden="1" customWidth="1"/>
    <col min="2064" max="2064" width="3.140625" style="87" bestFit="1" customWidth="1"/>
    <col min="2065" max="2065" width="3" style="87" bestFit="1" customWidth="1"/>
    <col min="2066" max="2066" width="7.5703125" style="87" bestFit="1" customWidth="1"/>
    <col min="2067" max="2070" width="0" style="87" hidden="1" customWidth="1"/>
    <col min="2071" max="2071" width="3.28515625" style="87" bestFit="1" customWidth="1"/>
    <col min="2072" max="2072" width="3" style="87" bestFit="1" customWidth="1"/>
    <col min="2073" max="2073" width="7.5703125" style="87" bestFit="1" customWidth="1"/>
    <col min="2074" max="2074" width="0" style="87" hidden="1" customWidth="1"/>
    <col min="2075" max="2075" width="7.5703125" style="87" bestFit="1" customWidth="1"/>
    <col min="2076" max="2304" width="9.140625" style="87"/>
    <col min="2305" max="2307" width="11.5703125" style="87" bestFit="1" customWidth="1"/>
    <col min="2308" max="2308" width="0" style="87" hidden="1" customWidth="1"/>
    <col min="2309" max="2309" width="8" style="87" bestFit="1" customWidth="1"/>
    <col min="2310" max="2310" width="11" style="87" bestFit="1" customWidth="1"/>
    <col min="2311" max="2319" width="0" style="87" hidden="1" customWidth="1"/>
    <col min="2320" max="2320" width="3.140625" style="87" bestFit="1" customWidth="1"/>
    <col min="2321" max="2321" width="3" style="87" bestFit="1" customWidth="1"/>
    <col min="2322" max="2322" width="7.5703125" style="87" bestFit="1" customWidth="1"/>
    <col min="2323" max="2326" width="0" style="87" hidden="1" customWidth="1"/>
    <col min="2327" max="2327" width="3.28515625" style="87" bestFit="1" customWidth="1"/>
    <col min="2328" max="2328" width="3" style="87" bestFit="1" customWidth="1"/>
    <col min="2329" max="2329" width="7.5703125" style="87" bestFit="1" customWidth="1"/>
    <col min="2330" max="2330" width="0" style="87" hidden="1" customWidth="1"/>
    <col min="2331" max="2331" width="7.5703125" style="87" bestFit="1" customWidth="1"/>
    <col min="2332" max="2560" width="9.140625" style="87"/>
    <col min="2561" max="2563" width="11.5703125" style="87" bestFit="1" customWidth="1"/>
    <col min="2564" max="2564" width="0" style="87" hidden="1" customWidth="1"/>
    <col min="2565" max="2565" width="8" style="87" bestFit="1" customWidth="1"/>
    <col min="2566" max="2566" width="11" style="87" bestFit="1" customWidth="1"/>
    <col min="2567" max="2575" width="0" style="87" hidden="1" customWidth="1"/>
    <col min="2576" max="2576" width="3.140625" style="87" bestFit="1" customWidth="1"/>
    <col min="2577" max="2577" width="3" style="87" bestFit="1" customWidth="1"/>
    <col min="2578" max="2578" width="7.5703125" style="87" bestFit="1" customWidth="1"/>
    <col min="2579" max="2582" width="0" style="87" hidden="1" customWidth="1"/>
    <col min="2583" max="2583" width="3.28515625" style="87" bestFit="1" customWidth="1"/>
    <col min="2584" max="2584" width="3" style="87" bestFit="1" customWidth="1"/>
    <col min="2585" max="2585" width="7.5703125" style="87" bestFit="1" customWidth="1"/>
    <col min="2586" max="2586" width="0" style="87" hidden="1" customWidth="1"/>
    <col min="2587" max="2587" width="7.5703125" style="87" bestFit="1" customWidth="1"/>
    <col min="2588" max="2816" width="9.140625" style="87"/>
    <col min="2817" max="2819" width="11.5703125" style="87" bestFit="1" customWidth="1"/>
    <col min="2820" max="2820" width="0" style="87" hidden="1" customWidth="1"/>
    <col min="2821" max="2821" width="8" style="87" bestFit="1" customWidth="1"/>
    <col min="2822" max="2822" width="11" style="87" bestFit="1" customWidth="1"/>
    <col min="2823" max="2831" width="0" style="87" hidden="1" customWidth="1"/>
    <col min="2832" max="2832" width="3.140625" style="87" bestFit="1" customWidth="1"/>
    <col min="2833" max="2833" width="3" style="87" bestFit="1" customWidth="1"/>
    <col min="2834" max="2834" width="7.5703125" style="87" bestFit="1" customWidth="1"/>
    <col min="2835" max="2838" width="0" style="87" hidden="1" customWidth="1"/>
    <col min="2839" max="2839" width="3.28515625" style="87" bestFit="1" customWidth="1"/>
    <col min="2840" max="2840" width="3" style="87" bestFit="1" customWidth="1"/>
    <col min="2841" max="2841" width="7.5703125" style="87" bestFit="1" customWidth="1"/>
    <col min="2842" max="2842" width="0" style="87" hidden="1" customWidth="1"/>
    <col min="2843" max="2843" width="7.5703125" style="87" bestFit="1" customWidth="1"/>
    <col min="2844" max="3072" width="9.140625" style="87"/>
    <col min="3073" max="3075" width="11.5703125" style="87" bestFit="1" customWidth="1"/>
    <col min="3076" max="3076" width="0" style="87" hidden="1" customWidth="1"/>
    <col min="3077" max="3077" width="8" style="87" bestFit="1" customWidth="1"/>
    <col min="3078" max="3078" width="11" style="87" bestFit="1" customWidth="1"/>
    <col min="3079" max="3087" width="0" style="87" hidden="1" customWidth="1"/>
    <col min="3088" max="3088" width="3.140625" style="87" bestFit="1" customWidth="1"/>
    <col min="3089" max="3089" width="3" style="87" bestFit="1" customWidth="1"/>
    <col min="3090" max="3090" width="7.5703125" style="87" bestFit="1" customWidth="1"/>
    <col min="3091" max="3094" width="0" style="87" hidden="1" customWidth="1"/>
    <col min="3095" max="3095" width="3.28515625" style="87" bestFit="1" customWidth="1"/>
    <col min="3096" max="3096" width="3" style="87" bestFit="1" customWidth="1"/>
    <col min="3097" max="3097" width="7.5703125" style="87" bestFit="1" customWidth="1"/>
    <col min="3098" max="3098" width="0" style="87" hidden="1" customWidth="1"/>
    <col min="3099" max="3099" width="7.5703125" style="87" bestFit="1" customWidth="1"/>
    <col min="3100" max="3328" width="9.140625" style="87"/>
    <col min="3329" max="3331" width="11.5703125" style="87" bestFit="1" customWidth="1"/>
    <col min="3332" max="3332" width="0" style="87" hidden="1" customWidth="1"/>
    <col min="3333" max="3333" width="8" style="87" bestFit="1" customWidth="1"/>
    <col min="3334" max="3334" width="11" style="87" bestFit="1" customWidth="1"/>
    <col min="3335" max="3343" width="0" style="87" hidden="1" customWidth="1"/>
    <col min="3344" max="3344" width="3.140625" style="87" bestFit="1" customWidth="1"/>
    <col min="3345" max="3345" width="3" style="87" bestFit="1" customWidth="1"/>
    <col min="3346" max="3346" width="7.5703125" style="87" bestFit="1" customWidth="1"/>
    <col min="3347" max="3350" width="0" style="87" hidden="1" customWidth="1"/>
    <col min="3351" max="3351" width="3.28515625" style="87" bestFit="1" customWidth="1"/>
    <col min="3352" max="3352" width="3" style="87" bestFit="1" customWidth="1"/>
    <col min="3353" max="3353" width="7.5703125" style="87" bestFit="1" customWidth="1"/>
    <col min="3354" max="3354" width="0" style="87" hidden="1" customWidth="1"/>
    <col min="3355" max="3355" width="7.5703125" style="87" bestFit="1" customWidth="1"/>
    <col min="3356" max="3584" width="9.140625" style="87"/>
    <col min="3585" max="3587" width="11.5703125" style="87" bestFit="1" customWidth="1"/>
    <col min="3588" max="3588" width="0" style="87" hidden="1" customWidth="1"/>
    <col min="3589" max="3589" width="8" style="87" bestFit="1" customWidth="1"/>
    <col min="3590" max="3590" width="11" style="87" bestFit="1" customWidth="1"/>
    <col min="3591" max="3599" width="0" style="87" hidden="1" customWidth="1"/>
    <col min="3600" max="3600" width="3.140625" style="87" bestFit="1" customWidth="1"/>
    <col min="3601" max="3601" width="3" style="87" bestFit="1" customWidth="1"/>
    <col min="3602" max="3602" width="7.5703125" style="87" bestFit="1" customWidth="1"/>
    <col min="3603" max="3606" width="0" style="87" hidden="1" customWidth="1"/>
    <col min="3607" max="3607" width="3.28515625" style="87" bestFit="1" customWidth="1"/>
    <col min="3608" max="3608" width="3" style="87" bestFit="1" customWidth="1"/>
    <col min="3609" max="3609" width="7.5703125" style="87" bestFit="1" customWidth="1"/>
    <col min="3610" max="3610" width="0" style="87" hidden="1" customWidth="1"/>
    <col min="3611" max="3611" width="7.5703125" style="87" bestFit="1" customWidth="1"/>
    <col min="3612" max="3840" width="9.140625" style="87"/>
    <col min="3841" max="3843" width="11.5703125" style="87" bestFit="1" customWidth="1"/>
    <col min="3844" max="3844" width="0" style="87" hidden="1" customWidth="1"/>
    <col min="3845" max="3845" width="8" style="87" bestFit="1" customWidth="1"/>
    <col min="3846" max="3846" width="11" style="87" bestFit="1" customWidth="1"/>
    <col min="3847" max="3855" width="0" style="87" hidden="1" customWidth="1"/>
    <col min="3856" max="3856" width="3.140625" style="87" bestFit="1" customWidth="1"/>
    <col min="3857" max="3857" width="3" style="87" bestFit="1" customWidth="1"/>
    <col min="3858" max="3858" width="7.5703125" style="87" bestFit="1" customWidth="1"/>
    <col min="3859" max="3862" width="0" style="87" hidden="1" customWidth="1"/>
    <col min="3863" max="3863" width="3.28515625" style="87" bestFit="1" customWidth="1"/>
    <col min="3864" max="3864" width="3" style="87" bestFit="1" customWidth="1"/>
    <col min="3865" max="3865" width="7.5703125" style="87" bestFit="1" customWidth="1"/>
    <col min="3866" max="3866" width="0" style="87" hidden="1" customWidth="1"/>
    <col min="3867" max="3867" width="7.5703125" style="87" bestFit="1" customWidth="1"/>
    <col min="3868" max="4096" width="9.140625" style="87"/>
    <col min="4097" max="4099" width="11.5703125" style="87" bestFit="1" customWidth="1"/>
    <col min="4100" max="4100" width="0" style="87" hidden="1" customWidth="1"/>
    <col min="4101" max="4101" width="8" style="87" bestFit="1" customWidth="1"/>
    <col min="4102" max="4102" width="11" style="87" bestFit="1" customWidth="1"/>
    <col min="4103" max="4111" width="0" style="87" hidden="1" customWidth="1"/>
    <col min="4112" max="4112" width="3.140625" style="87" bestFit="1" customWidth="1"/>
    <col min="4113" max="4113" width="3" style="87" bestFit="1" customWidth="1"/>
    <col min="4114" max="4114" width="7.5703125" style="87" bestFit="1" customWidth="1"/>
    <col min="4115" max="4118" width="0" style="87" hidden="1" customWidth="1"/>
    <col min="4119" max="4119" width="3.28515625" style="87" bestFit="1" customWidth="1"/>
    <col min="4120" max="4120" width="3" style="87" bestFit="1" customWidth="1"/>
    <col min="4121" max="4121" width="7.5703125" style="87" bestFit="1" customWidth="1"/>
    <col min="4122" max="4122" width="0" style="87" hidden="1" customWidth="1"/>
    <col min="4123" max="4123" width="7.5703125" style="87" bestFit="1" customWidth="1"/>
    <col min="4124" max="4352" width="9.140625" style="87"/>
    <col min="4353" max="4355" width="11.5703125" style="87" bestFit="1" customWidth="1"/>
    <col min="4356" max="4356" width="0" style="87" hidden="1" customWidth="1"/>
    <col min="4357" max="4357" width="8" style="87" bestFit="1" customWidth="1"/>
    <col min="4358" max="4358" width="11" style="87" bestFit="1" customWidth="1"/>
    <col min="4359" max="4367" width="0" style="87" hidden="1" customWidth="1"/>
    <col min="4368" max="4368" width="3.140625" style="87" bestFit="1" customWidth="1"/>
    <col min="4369" max="4369" width="3" style="87" bestFit="1" customWidth="1"/>
    <col min="4370" max="4370" width="7.5703125" style="87" bestFit="1" customWidth="1"/>
    <col min="4371" max="4374" width="0" style="87" hidden="1" customWidth="1"/>
    <col min="4375" max="4375" width="3.28515625" style="87" bestFit="1" customWidth="1"/>
    <col min="4376" max="4376" width="3" style="87" bestFit="1" customWidth="1"/>
    <col min="4377" max="4377" width="7.5703125" style="87" bestFit="1" customWidth="1"/>
    <col min="4378" max="4378" width="0" style="87" hidden="1" customWidth="1"/>
    <col min="4379" max="4379" width="7.5703125" style="87" bestFit="1" customWidth="1"/>
    <col min="4380" max="4608" width="9.140625" style="87"/>
    <col min="4609" max="4611" width="11.5703125" style="87" bestFit="1" customWidth="1"/>
    <col min="4612" max="4612" width="0" style="87" hidden="1" customWidth="1"/>
    <col min="4613" max="4613" width="8" style="87" bestFit="1" customWidth="1"/>
    <col min="4614" max="4614" width="11" style="87" bestFit="1" customWidth="1"/>
    <col min="4615" max="4623" width="0" style="87" hidden="1" customWidth="1"/>
    <col min="4624" max="4624" width="3.140625" style="87" bestFit="1" customWidth="1"/>
    <col min="4625" max="4625" width="3" style="87" bestFit="1" customWidth="1"/>
    <col min="4626" max="4626" width="7.5703125" style="87" bestFit="1" customWidth="1"/>
    <col min="4627" max="4630" width="0" style="87" hidden="1" customWidth="1"/>
    <col min="4631" max="4631" width="3.28515625" style="87" bestFit="1" customWidth="1"/>
    <col min="4632" max="4632" width="3" style="87" bestFit="1" customWidth="1"/>
    <col min="4633" max="4633" width="7.5703125" style="87" bestFit="1" customWidth="1"/>
    <col min="4634" max="4634" width="0" style="87" hidden="1" customWidth="1"/>
    <col min="4635" max="4635" width="7.5703125" style="87" bestFit="1" customWidth="1"/>
    <col min="4636" max="4864" width="9.140625" style="87"/>
    <col min="4865" max="4867" width="11.5703125" style="87" bestFit="1" customWidth="1"/>
    <col min="4868" max="4868" width="0" style="87" hidden="1" customWidth="1"/>
    <col min="4869" max="4869" width="8" style="87" bestFit="1" customWidth="1"/>
    <col min="4870" max="4870" width="11" style="87" bestFit="1" customWidth="1"/>
    <col min="4871" max="4879" width="0" style="87" hidden="1" customWidth="1"/>
    <col min="4880" max="4880" width="3.140625" style="87" bestFit="1" customWidth="1"/>
    <col min="4881" max="4881" width="3" style="87" bestFit="1" customWidth="1"/>
    <col min="4882" max="4882" width="7.5703125" style="87" bestFit="1" customWidth="1"/>
    <col min="4883" max="4886" width="0" style="87" hidden="1" customWidth="1"/>
    <col min="4887" max="4887" width="3.28515625" style="87" bestFit="1" customWidth="1"/>
    <col min="4888" max="4888" width="3" style="87" bestFit="1" customWidth="1"/>
    <col min="4889" max="4889" width="7.5703125" style="87" bestFit="1" customWidth="1"/>
    <col min="4890" max="4890" width="0" style="87" hidden="1" customWidth="1"/>
    <col min="4891" max="4891" width="7.5703125" style="87" bestFit="1" customWidth="1"/>
    <col min="4892" max="5120" width="9.140625" style="87"/>
    <col min="5121" max="5123" width="11.5703125" style="87" bestFit="1" customWidth="1"/>
    <col min="5124" max="5124" width="0" style="87" hidden="1" customWidth="1"/>
    <col min="5125" max="5125" width="8" style="87" bestFit="1" customWidth="1"/>
    <col min="5126" max="5126" width="11" style="87" bestFit="1" customWidth="1"/>
    <col min="5127" max="5135" width="0" style="87" hidden="1" customWidth="1"/>
    <col min="5136" max="5136" width="3.140625" style="87" bestFit="1" customWidth="1"/>
    <col min="5137" max="5137" width="3" style="87" bestFit="1" customWidth="1"/>
    <col min="5138" max="5138" width="7.5703125" style="87" bestFit="1" customWidth="1"/>
    <col min="5139" max="5142" width="0" style="87" hidden="1" customWidth="1"/>
    <col min="5143" max="5143" width="3.28515625" style="87" bestFit="1" customWidth="1"/>
    <col min="5144" max="5144" width="3" style="87" bestFit="1" customWidth="1"/>
    <col min="5145" max="5145" width="7.5703125" style="87" bestFit="1" customWidth="1"/>
    <col min="5146" max="5146" width="0" style="87" hidden="1" customWidth="1"/>
    <col min="5147" max="5147" width="7.5703125" style="87" bestFit="1" customWidth="1"/>
    <col min="5148" max="5376" width="9.140625" style="87"/>
    <col min="5377" max="5379" width="11.5703125" style="87" bestFit="1" customWidth="1"/>
    <col min="5380" max="5380" width="0" style="87" hidden="1" customWidth="1"/>
    <col min="5381" max="5381" width="8" style="87" bestFit="1" customWidth="1"/>
    <col min="5382" max="5382" width="11" style="87" bestFit="1" customWidth="1"/>
    <col min="5383" max="5391" width="0" style="87" hidden="1" customWidth="1"/>
    <col min="5392" max="5392" width="3.140625" style="87" bestFit="1" customWidth="1"/>
    <col min="5393" max="5393" width="3" style="87" bestFit="1" customWidth="1"/>
    <col min="5394" max="5394" width="7.5703125" style="87" bestFit="1" customWidth="1"/>
    <col min="5395" max="5398" width="0" style="87" hidden="1" customWidth="1"/>
    <col min="5399" max="5399" width="3.28515625" style="87" bestFit="1" customWidth="1"/>
    <col min="5400" max="5400" width="3" style="87" bestFit="1" customWidth="1"/>
    <col min="5401" max="5401" width="7.5703125" style="87" bestFit="1" customWidth="1"/>
    <col min="5402" max="5402" width="0" style="87" hidden="1" customWidth="1"/>
    <col min="5403" max="5403" width="7.5703125" style="87" bestFit="1" customWidth="1"/>
    <col min="5404" max="5632" width="9.140625" style="87"/>
    <col min="5633" max="5635" width="11.5703125" style="87" bestFit="1" customWidth="1"/>
    <col min="5636" max="5636" width="0" style="87" hidden="1" customWidth="1"/>
    <col min="5637" max="5637" width="8" style="87" bestFit="1" customWidth="1"/>
    <col min="5638" max="5638" width="11" style="87" bestFit="1" customWidth="1"/>
    <col min="5639" max="5647" width="0" style="87" hidden="1" customWidth="1"/>
    <col min="5648" max="5648" width="3.140625" style="87" bestFit="1" customWidth="1"/>
    <col min="5649" max="5649" width="3" style="87" bestFit="1" customWidth="1"/>
    <col min="5650" max="5650" width="7.5703125" style="87" bestFit="1" customWidth="1"/>
    <col min="5651" max="5654" width="0" style="87" hidden="1" customWidth="1"/>
    <col min="5655" max="5655" width="3.28515625" style="87" bestFit="1" customWidth="1"/>
    <col min="5656" max="5656" width="3" style="87" bestFit="1" customWidth="1"/>
    <col min="5657" max="5657" width="7.5703125" style="87" bestFit="1" customWidth="1"/>
    <col min="5658" max="5658" width="0" style="87" hidden="1" customWidth="1"/>
    <col min="5659" max="5659" width="7.5703125" style="87" bestFit="1" customWidth="1"/>
    <col min="5660" max="5888" width="9.140625" style="87"/>
    <col min="5889" max="5891" width="11.5703125" style="87" bestFit="1" customWidth="1"/>
    <col min="5892" max="5892" width="0" style="87" hidden="1" customWidth="1"/>
    <col min="5893" max="5893" width="8" style="87" bestFit="1" customWidth="1"/>
    <col min="5894" max="5894" width="11" style="87" bestFit="1" customWidth="1"/>
    <col min="5895" max="5903" width="0" style="87" hidden="1" customWidth="1"/>
    <col min="5904" max="5904" width="3.140625" style="87" bestFit="1" customWidth="1"/>
    <col min="5905" max="5905" width="3" style="87" bestFit="1" customWidth="1"/>
    <col min="5906" max="5906" width="7.5703125" style="87" bestFit="1" customWidth="1"/>
    <col min="5907" max="5910" width="0" style="87" hidden="1" customWidth="1"/>
    <col min="5911" max="5911" width="3.28515625" style="87" bestFit="1" customWidth="1"/>
    <col min="5912" max="5912" width="3" style="87" bestFit="1" customWidth="1"/>
    <col min="5913" max="5913" width="7.5703125" style="87" bestFit="1" customWidth="1"/>
    <col min="5914" max="5914" width="0" style="87" hidden="1" customWidth="1"/>
    <col min="5915" max="5915" width="7.5703125" style="87" bestFit="1" customWidth="1"/>
    <col min="5916" max="6144" width="9.140625" style="87"/>
    <col min="6145" max="6147" width="11.5703125" style="87" bestFit="1" customWidth="1"/>
    <col min="6148" max="6148" width="0" style="87" hidden="1" customWidth="1"/>
    <col min="6149" max="6149" width="8" style="87" bestFit="1" customWidth="1"/>
    <col min="6150" max="6150" width="11" style="87" bestFit="1" customWidth="1"/>
    <col min="6151" max="6159" width="0" style="87" hidden="1" customWidth="1"/>
    <col min="6160" max="6160" width="3.140625" style="87" bestFit="1" customWidth="1"/>
    <col min="6161" max="6161" width="3" style="87" bestFit="1" customWidth="1"/>
    <col min="6162" max="6162" width="7.5703125" style="87" bestFit="1" customWidth="1"/>
    <col min="6163" max="6166" width="0" style="87" hidden="1" customWidth="1"/>
    <col min="6167" max="6167" width="3.28515625" style="87" bestFit="1" customWidth="1"/>
    <col min="6168" max="6168" width="3" style="87" bestFit="1" customWidth="1"/>
    <col min="6169" max="6169" width="7.5703125" style="87" bestFit="1" customWidth="1"/>
    <col min="6170" max="6170" width="0" style="87" hidden="1" customWidth="1"/>
    <col min="6171" max="6171" width="7.5703125" style="87" bestFit="1" customWidth="1"/>
    <col min="6172" max="6400" width="9.140625" style="87"/>
    <col min="6401" max="6403" width="11.5703125" style="87" bestFit="1" customWidth="1"/>
    <col min="6404" max="6404" width="0" style="87" hidden="1" customWidth="1"/>
    <col min="6405" max="6405" width="8" style="87" bestFit="1" customWidth="1"/>
    <col min="6406" max="6406" width="11" style="87" bestFit="1" customWidth="1"/>
    <col min="6407" max="6415" width="0" style="87" hidden="1" customWidth="1"/>
    <col min="6416" max="6416" width="3.140625" style="87" bestFit="1" customWidth="1"/>
    <col min="6417" max="6417" width="3" style="87" bestFit="1" customWidth="1"/>
    <col min="6418" max="6418" width="7.5703125" style="87" bestFit="1" customWidth="1"/>
    <col min="6419" max="6422" width="0" style="87" hidden="1" customWidth="1"/>
    <col min="6423" max="6423" width="3.28515625" style="87" bestFit="1" customWidth="1"/>
    <col min="6424" max="6424" width="3" style="87" bestFit="1" customWidth="1"/>
    <col min="6425" max="6425" width="7.5703125" style="87" bestFit="1" customWidth="1"/>
    <col min="6426" max="6426" width="0" style="87" hidden="1" customWidth="1"/>
    <col min="6427" max="6427" width="7.5703125" style="87" bestFit="1" customWidth="1"/>
    <col min="6428" max="6656" width="9.140625" style="87"/>
    <col min="6657" max="6659" width="11.5703125" style="87" bestFit="1" customWidth="1"/>
    <col min="6660" max="6660" width="0" style="87" hidden="1" customWidth="1"/>
    <col min="6661" max="6661" width="8" style="87" bestFit="1" customWidth="1"/>
    <col min="6662" max="6662" width="11" style="87" bestFit="1" customWidth="1"/>
    <col min="6663" max="6671" width="0" style="87" hidden="1" customWidth="1"/>
    <col min="6672" max="6672" width="3.140625" style="87" bestFit="1" customWidth="1"/>
    <col min="6673" max="6673" width="3" style="87" bestFit="1" customWidth="1"/>
    <col min="6674" max="6674" width="7.5703125" style="87" bestFit="1" customWidth="1"/>
    <col min="6675" max="6678" width="0" style="87" hidden="1" customWidth="1"/>
    <col min="6679" max="6679" width="3.28515625" style="87" bestFit="1" customWidth="1"/>
    <col min="6680" max="6680" width="3" style="87" bestFit="1" customWidth="1"/>
    <col min="6681" max="6681" width="7.5703125" style="87" bestFit="1" customWidth="1"/>
    <col min="6682" max="6682" width="0" style="87" hidden="1" customWidth="1"/>
    <col min="6683" max="6683" width="7.5703125" style="87" bestFit="1" customWidth="1"/>
    <col min="6684" max="6912" width="9.140625" style="87"/>
    <col min="6913" max="6915" width="11.5703125" style="87" bestFit="1" customWidth="1"/>
    <col min="6916" max="6916" width="0" style="87" hidden="1" customWidth="1"/>
    <col min="6917" max="6917" width="8" style="87" bestFit="1" customWidth="1"/>
    <col min="6918" max="6918" width="11" style="87" bestFit="1" customWidth="1"/>
    <col min="6919" max="6927" width="0" style="87" hidden="1" customWidth="1"/>
    <col min="6928" max="6928" width="3.140625" style="87" bestFit="1" customWidth="1"/>
    <col min="6929" max="6929" width="3" style="87" bestFit="1" customWidth="1"/>
    <col min="6930" max="6930" width="7.5703125" style="87" bestFit="1" customWidth="1"/>
    <col min="6931" max="6934" width="0" style="87" hidden="1" customWidth="1"/>
    <col min="6935" max="6935" width="3.28515625" style="87" bestFit="1" customWidth="1"/>
    <col min="6936" max="6936" width="3" style="87" bestFit="1" customWidth="1"/>
    <col min="6937" max="6937" width="7.5703125" style="87" bestFit="1" customWidth="1"/>
    <col min="6938" max="6938" width="0" style="87" hidden="1" customWidth="1"/>
    <col min="6939" max="6939" width="7.5703125" style="87" bestFit="1" customWidth="1"/>
    <col min="6940" max="7168" width="9.140625" style="87"/>
    <col min="7169" max="7171" width="11.5703125" style="87" bestFit="1" customWidth="1"/>
    <col min="7172" max="7172" width="0" style="87" hidden="1" customWidth="1"/>
    <col min="7173" max="7173" width="8" style="87" bestFit="1" customWidth="1"/>
    <col min="7174" max="7174" width="11" style="87" bestFit="1" customWidth="1"/>
    <col min="7175" max="7183" width="0" style="87" hidden="1" customWidth="1"/>
    <col min="7184" max="7184" width="3.140625" style="87" bestFit="1" customWidth="1"/>
    <col min="7185" max="7185" width="3" style="87" bestFit="1" customWidth="1"/>
    <col min="7186" max="7186" width="7.5703125" style="87" bestFit="1" customWidth="1"/>
    <col min="7187" max="7190" width="0" style="87" hidden="1" customWidth="1"/>
    <col min="7191" max="7191" width="3.28515625" style="87" bestFit="1" customWidth="1"/>
    <col min="7192" max="7192" width="3" style="87" bestFit="1" customWidth="1"/>
    <col min="7193" max="7193" width="7.5703125" style="87" bestFit="1" customWidth="1"/>
    <col min="7194" max="7194" width="0" style="87" hidden="1" customWidth="1"/>
    <col min="7195" max="7195" width="7.5703125" style="87" bestFit="1" customWidth="1"/>
    <col min="7196" max="7424" width="9.140625" style="87"/>
    <col min="7425" max="7427" width="11.5703125" style="87" bestFit="1" customWidth="1"/>
    <col min="7428" max="7428" width="0" style="87" hidden="1" customWidth="1"/>
    <col min="7429" max="7429" width="8" style="87" bestFit="1" customWidth="1"/>
    <col min="7430" max="7430" width="11" style="87" bestFit="1" customWidth="1"/>
    <col min="7431" max="7439" width="0" style="87" hidden="1" customWidth="1"/>
    <col min="7440" max="7440" width="3.140625" style="87" bestFit="1" customWidth="1"/>
    <col min="7441" max="7441" width="3" style="87" bestFit="1" customWidth="1"/>
    <col min="7442" max="7442" width="7.5703125" style="87" bestFit="1" customWidth="1"/>
    <col min="7443" max="7446" width="0" style="87" hidden="1" customWidth="1"/>
    <col min="7447" max="7447" width="3.28515625" style="87" bestFit="1" customWidth="1"/>
    <col min="7448" max="7448" width="3" style="87" bestFit="1" customWidth="1"/>
    <col min="7449" max="7449" width="7.5703125" style="87" bestFit="1" customWidth="1"/>
    <col min="7450" max="7450" width="0" style="87" hidden="1" customWidth="1"/>
    <col min="7451" max="7451" width="7.5703125" style="87" bestFit="1" customWidth="1"/>
    <col min="7452" max="7680" width="9.140625" style="87"/>
    <col min="7681" max="7683" width="11.5703125" style="87" bestFit="1" customWidth="1"/>
    <col min="7684" max="7684" width="0" style="87" hidden="1" customWidth="1"/>
    <col min="7685" max="7685" width="8" style="87" bestFit="1" customWidth="1"/>
    <col min="7686" max="7686" width="11" style="87" bestFit="1" customWidth="1"/>
    <col min="7687" max="7695" width="0" style="87" hidden="1" customWidth="1"/>
    <col min="7696" max="7696" width="3.140625" style="87" bestFit="1" customWidth="1"/>
    <col min="7697" max="7697" width="3" style="87" bestFit="1" customWidth="1"/>
    <col min="7698" max="7698" width="7.5703125" style="87" bestFit="1" customWidth="1"/>
    <col min="7699" max="7702" width="0" style="87" hidden="1" customWidth="1"/>
    <col min="7703" max="7703" width="3.28515625" style="87" bestFit="1" customWidth="1"/>
    <col min="7704" max="7704" width="3" style="87" bestFit="1" customWidth="1"/>
    <col min="7705" max="7705" width="7.5703125" style="87" bestFit="1" customWidth="1"/>
    <col min="7706" max="7706" width="0" style="87" hidden="1" customWidth="1"/>
    <col min="7707" max="7707" width="7.5703125" style="87" bestFit="1" customWidth="1"/>
    <col min="7708" max="7936" width="9.140625" style="87"/>
    <col min="7937" max="7939" width="11.5703125" style="87" bestFit="1" customWidth="1"/>
    <col min="7940" max="7940" width="0" style="87" hidden="1" customWidth="1"/>
    <col min="7941" max="7941" width="8" style="87" bestFit="1" customWidth="1"/>
    <col min="7942" max="7942" width="11" style="87" bestFit="1" customWidth="1"/>
    <col min="7943" max="7951" width="0" style="87" hidden="1" customWidth="1"/>
    <col min="7952" max="7952" width="3.140625" style="87" bestFit="1" customWidth="1"/>
    <col min="7953" max="7953" width="3" style="87" bestFit="1" customWidth="1"/>
    <col min="7954" max="7954" width="7.5703125" style="87" bestFit="1" customWidth="1"/>
    <col min="7955" max="7958" width="0" style="87" hidden="1" customWidth="1"/>
    <col min="7959" max="7959" width="3.28515625" style="87" bestFit="1" customWidth="1"/>
    <col min="7960" max="7960" width="3" style="87" bestFit="1" customWidth="1"/>
    <col min="7961" max="7961" width="7.5703125" style="87" bestFit="1" customWidth="1"/>
    <col min="7962" max="7962" width="0" style="87" hidden="1" customWidth="1"/>
    <col min="7963" max="7963" width="7.5703125" style="87" bestFit="1" customWidth="1"/>
    <col min="7964" max="8192" width="9.140625" style="87"/>
    <col min="8193" max="8195" width="11.5703125" style="87" bestFit="1" customWidth="1"/>
    <col min="8196" max="8196" width="0" style="87" hidden="1" customWidth="1"/>
    <col min="8197" max="8197" width="8" style="87" bestFit="1" customWidth="1"/>
    <col min="8198" max="8198" width="11" style="87" bestFit="1" customWidth="1"/>
    <col min="8199" max="8207" width="0" style="87" hidden="1" customWidth="1"/>
    <col min="8208" max="8208" width="3.140625" style="87" bestFit="1" customWidth="1"/>
    <col min="8209" max="8209" width="3" style="87" bestFit="1" customWidth="1"/>
    <col min="8210" max="8210" width="7.5703125" style="87" bestFit="1" customWidth="1"/>
    <col min="8211" max="8214" width="0" style="87" hidden="1" customWidth="1"/>
    <col min="8215" max="8215" width="3.28515625" style="87" bestFit="1" customWidth="1"/>
    <col min="8216" max="8216" width="3" style="87" bestFit="1" customWidth="1"/>
    <col min="8217" max="8217" width="7.5703125" style="87" bestFit="1" customWidth="1"/>
    <col min="8218" max="8218" width="0" style="87" hidden="1" customWidth="1"/>
    <col min="8219" max="8219" width="7.5703125" style="87" bestFit="1" customWidth="1"/>
    <col min="8220" max="8448" width="9.140625" style="87"/>
    <col min="8449" max="8451" width="11.5703125" style="87" bestFit="1" customWidth="1"/>
    <col min="8452" max="8452" width="0" style="87" hidden="1" customWidth="1"/>
    <col min="8453" max="8453" width="8" style="87" bestFit="1" customWidth="1"/>
    <col min="8454" max="8454" width="11" style="87" bestFit="1" customWidth="1"/>
    <col min="8455" max="8463" width="0" style="87" hidden="1" customWidth="1"/>
    <col min="8464" max="8464" width="3.140625" style="87" bestFit="1" customWidth="1"/>
    <col min="8465" max="8465" width="3" style="87" bestFit="1" customWidth="1"/>
    <col min="8466" max="8466" width="7.5703125" style="87" bestFit="1" customWidth="1"/>
    <col min="8467" max="8470" width="0" style="87" hidden="1" customWidth="1"/>
    <col min="8471" max="8471" width="3.28515625" style="87" bestFit="1" customWidth="1"/>
    <col min="8472" max="8472" width="3" style="87" bestFit="1" customWidth="1"/>
    <col min="8473" max="8473" width="7.5703125" style="87" bestFit="1" customWidth="1"/>
    <col min="8474" max="8474" width="0" style="87" hidden="1" customWidth="1"/>
    <col min="8475" max="8475" width="7.5703125" style="87" bestFit="1" customWidth="1"/>
    <col min="8476" max="8704" width="9.140625" style="87"/>
    <col min="8705" max="8707" width="11.5703125" style="87" bestFit="1" customWidth="1"/>
    <col min="8708" max="8708" width="0" style="87" hidden="1" customWidth="1"/>
    <col min="8709" max="8709" width="8" style="87" bestFit="1" customWidth="1"/>
    <col min="8710" max="8710" width="11" style="87" bestFit="1" customWidth="1"/>
    <col min="8711" max="8719" width="0" style="87" hidden="1" customWidth="1"/>
    <col min="8720" max="8720" width="3.140625" style="87" bestFit="1" customWidth="1"/>
    <col min="8721" max="8721" width="3" style="87" bestFit="1" customWidth="1"/>
    <col min="8722" max="8722" width="7.5703125" style="87" bestFit="1" customWidth="1"/>
    <col min="8723" max="8726" width="0" style="87" hidden="1" customWidth="1"/>
    <col min="8727" max="8727" width="3.28515625" style="87" bestFit="1" customWidth="1"/>
    <col min="8728" max="8728" width="3" style="87" bestFit="1" customWidth="1"/>
    <col min="8729" max="8729" width="7.5703125" style="87" bestFit="1" customWidth="1"/>
    <col min="8730" max="8730" width="0" style="87" hidden="1" customWidth="1"/>
    <col min="8731" max="8731" width="7.5703125" style="87" bestFit="1" customWidth="1"/>
    <col min="8732" max="8960" width="9.140625" style="87"/>
    <col min="8961" max="8963" width="11.5703125" style="87" bestFit="1" customWidth="1"/>
    <col min="8964" max="8964" width="0" style="87" hidden="1" customWidth="1"/>
    <col min="8965" max="8965" width="8" style="87" bestFit="1" customWidth="1"/>
    <col min="8966" max="8966" width="11" style="87" bestFit="1" customWidth="1"/>
    <col min="8967" max="8975" width="0" style="87" hidden="1" customWidth="1"/>
    <col min="8976" max="8976" width="3.140625" style="87" bestFit="1" customWidth="1"/>
    <col min="8977" max="8977" width="3" style="87" bestFit="1" customWidth="1"/>
    <col min="8978" max="8978" width="7.5703125" style="87" bestFit="1" customWidth="1"/>
    <col min="8979" max="8982" width="0" style="87" hidden="1" customWidth="1"/>
    <col min="8983" max="8983" width="3.28515625" style="87" bestFit="1" customWidth="1"/>
    <col min="8984" max="8984" width="3" style="87" bestFit="1" customWidth="1"/>
    <col min="8985" max="8985" width="7.5703125" style="87" bestFit="1" customWidth="1"/>
    <col min="8986" max="8986" width="0" style="87" hidden="1" customWidth="1"/>
    <col min="8987" max="8987" width="7.5703125" style="87" bestFit="1" customWidth="1"/>
    <col min="8988" max="9216" width="9.140625" style="87"/>
    <col min="9217" max="9219" width="11.5703125" style="87" bestFit="1" customWidth="1"/>
    <col min="9220" max="9220" width="0" style="87" hidden="1" customWidth="1"/>
    <col min="9221" max="9221" width="8" style="87" bestFit="1" customWidth="1"/>
    <col min="9222" max="9222" width="11" style="87" bestFit="1" customWidth="1"/>
    <col min="9223" max="9231" width="0" style="87" hidden="1" customWidth="1"/>
    <col min="9232" max="9232" width="3.140625" style="87" bestFit="1" customWidth="1"/>
    <col min="9233" max="9233" width="3" style="87" bestFit="1" customWidth="1"/>
    <col min="9234" max="9234" width="7.5703125" style="87" bestFit="1" customWidth="1"/>
    <col min="9235" max="9238" width="0" style="87" hidden="1" customWidth="1"/>
    <col min="9239" max="9239" width="3.28515625" style="87" bestFit="1" customWidth="1"/>
    <col min="9240" max="9240" width="3" style="87" bestFit="1" customWidth="1"/>
    <col min="9241" max="9241" width="7.5703125" style="87" bestFit="1" customWidth="1"/>
    <col min="9242" max="9242" width="0" style="87" hidden="1" customWidth="1"/>
    <col min="9243" max="9243" width="7.5703125" style="87" bestFit="1" customWidth="1"/>
    <col min="9244" max="9472" width="9.140625" style="87"/>
    <col min="9473" max="9475" width="11.5703125" style="87" bestFit="1" customWidth="1"/>
    <col min="9476" max="9476" width="0" style="87" hidden="1" customWidth="1"/>
    <col min="9477" max="9477" width="8" style="87" bestFit="1" customWidth="1"/>
    <col min="9478" max="9478" width="11" style="87" bestFit="1" customWidth="1"/>
    <col min="9479" max="9487" width="0" style="87" hidden="1" customWidth="1"/>
    <col min="9488" max="9488" width="3.140625" style="87" bestFit="1" customWidth="1"/>
    <col min="9489" max="9489" width="3" style="87" bestFit="1" customWidth="1"/>
    <col min="9490" max="9490" width="7.5703125" style="87" bestFit="1" customWidth="1"/>
    <col min="9491" max="9494" width="0" style="87" hidden="1" customWidth="1"/>
    <col min="9495" max="9495" width="3.28515625" style="87" bestFit="1" customWidth="1"/>
    <col min="9496" max="9496" width="3" style="87" bestFit="1" customWidth="1"/>
    <col min="9497" max="9497" width="7.5703125" style="87" bestFit="1" customWidth="1"/>
    <col min="9498" max="9498" width="0" style="87" hidden="1" customWidth="1"/>
    <col min="9499" max="9499" width="7.5703125" style="87" bestFit="1" customWidth="1"/>
    <col min="9500" max="9728" width="9.140625" style="87"/>
    <col min="9729" max="9731" width="11.5703125" style="87" bestFit="1" customWidth="1"/>
    <col min="9732" max="9732" width="0" style="87" hidden="1" customWidth="1"/>
    <col min="9733" max="9733" width="8" style="87" bestFit="1" customWidth="1"/>
    <col min="9734" max="9734" width="11" style="87" bestFit="1" customWidth="1"/>
    <col min="9735" max="9743" width="0" style="87" hidden="1" customWidth="1"/>
    <col min="9744" max="9744" width="3.140625" style="87" bestFit="1" customWidth="1"/>
    <col min="9745" max="9745" width="3" style="87" bestFit="1" customWidth="1"/>
    <col min="9746" max="9746" width="7.5703125" style="87" bestFit="1" customWidth="1"/>
    <col min="9747" max="9750" width="0" style="87" hidden="1" customWidth="1"/>
    <col min="9751" max="9751" width="3.28515625" style="87" bestFit="1" customWidth="1"/>
    <col min="9752" max="9752" width="3" style="87" bestFit="1" customWidth="1"/>
    <col min="9753" max="9753" width="7.5703125" style="87" bestFit="1" customWidth="1"/>
    <col min="9754" max="9754" width="0" style="87" hidden="1" customWidth="1"/>
    <col min="9755" max="9755" width="7.5703125" style="87" bestFit="1" customWidth="1"/>
    <col min="9756" max="9984" width="9.140625" style="87"/>
    <col min="9985" max="9987" width="11.5703125" style="87" bestFit="1" customWidth="1"/>
    <col min="9988" max="9988" width="0" style="87" hidden="1" customWidth="1"/>
    <col min="9989" max="9989" width="8" style="87" bestFit="1" customWidth="1"/>
    <col min="9990" max="9990" width="11" style="87" bestFit="1" customWidth="1"/>
    <col min="9991" max="9999" width="0" style="87" hidden="1" customWidth="1"/>
    <col min="10000" max="10000" width="3.140625" style="87" bestFit="1" customWidth="1"/>
    <col min="10001" max="10001" width="3" style="87" bestFit="1" customWidth="1"/>
    <col min="10002" max="10002" width="7.5703125" style="87" bestFit="1" customWidth="1"/>
    <col min="10003" max="10006" width="0" style="87" hidden="1" customWidth="1"/>
    <col min="10007" max="10007" width="3.28515625" style="87" bestFit="1" customWidth="1"/>
    <col min="10008" max="10008" width="3" style="87" bestFit="1" customWidth="1"/>
    <col min="10009" max="10009" width="7.5703125" style="87" bestFit="1" customWidth="1"/>
    <col min="10010" max="10010" width="0" style="87" hidden="1" customWidth="1"/>
    <col min="10011" max="10011" width="7.5703125" style="87" bestFit="1" customWidth="1"/>
    <col min="10012" max="10240" width="9.140625" style="87"/>
    <col min="10241" max="10243" width="11.5703125" style="87" bestFit="1" customWidth="1"/>
    <col min="10244" max="10244" width="0" style="87" hidden="1" customWidth="1"/>
    <col min="10245" max="10245" width="8" style="87" bestFit="1" customWidth="1"/>
    <col min="10246" max="10246" width="11" style="87" bestFit="1" customWidth="1"/>
    <col min="10247" max="10255" width="0" style="87" hidden="1" customWidth="1"/>
    <col min="10256" max="10256" width="3.140625" style="87" bestFit="1" customWidth="1"/>
    <col min="10257" max="10257" width="3" style="87" bestFit="1" customWidth="1"/>
    <col min="10258" max="10258" width="7.5703125" style="87" bestFit="1" customWidth="1"/>
    <col min="10259" max="10262" width="0" style="87" hidden="1" customWidth="1"/>
    <col min="10263" max="10263" width="3.28515625" style="87" bestFit="1" customWidth="1"/>
    <col min="10264" max="10264" width="3" style="87" bestFit="1" customWidth="1"/>
    <col min="10265" max="10265" width="7.5703125" style="87" bestFit="1" customWidth="1"/>
    <col min="10266" max="10266" width="0" style="87" hidden="1" customWidth="1"/>
    <col min="10267" max="10267" width="7.5703125" style="87" bestFit="1" customWidth="1"/>
    <col min="10268" max="10496" width="9.140625" style="87"/>
    <col min="10497" max="10499" width="11.5703125" style="87" bestFit="1" customWidth="1"/>
    <col min="10500" max="10500" width="0" style="87" hidden="1" customWidth="1"/>
    <col min="10501" max="10501" width="8" style="87" bestFit="1" customWidth="1"/>
    <col min="10502" max="10502" width="11" style="87" bestFit="1" customWidth="1"/>
    <col min="10503" max="10511" width="0" style="87" hidden="1" customWidth="1"/>
    <col min="10512" max="10512" width="3.140625" style="87" bestFit="1" customWidth="1"/>
    <col min="10513" max="10513" width="3" style="87" bestFit="1" customWidth="1"/>
    <col min="10514" max="10514" width="7.5703125" style="87" bestFit="1" customWidth="1"/>
    <col min="10515" max="10518" width="0" style="87" hidden="1" customWidth="1"/>
    <col min="10519" max="10519" width="3.28515625" style="87" bestFit="1" customWidth="1"/>
    <col min="10520" max="10520" width="3" style="87" bestFit="1" customWidth="1"/>
    <col min="10521" max="10521" width="7.5703125" style="87" bestFit="1" customWidth="1"/>
    <col min="10522" max="10522" width="0" style="87" hidden="1" customWidth="1"/>
    <col min="10523" max="10523" width="7.5703125" style="87" bestFit="1" customWidth="1"/>
    <col min="10524" max="10752" width="9.140625" style="87"/>
    <col min="10753" max="10755" width="11.5703125" style="87" bestFit="1" customWidth="1"/>
    <col min="10756" max="10756" width="0" style="87" hidden="1" customWidth="1"/>
    <col min="10757" max="10757" width="8" style="87" bestFit="1" customWidth="1"/>
    <col min="10758" max="10758" width="11" style="87" bestFit="1" customWidth="1"/>
    <col min="10759" max="10767" width="0" style="87" hidden="1" customWidth="1"/>
    <col min="10768" max="10768" width="3.140625" style="87" bestFit="1" customWidth="1"/>
    <col min="10769" max="10769" width="3" style="87" bestFit="1" customWidth="1"/>
    <col min="10770" max="10770" width="7.5703125" style="87" bestFit="1" customWidth="1"/>
    <col min="10771" max="10774" width="0" style="87" hidden="1" customWidth="1"/>
    <col min="10775" max="10775" width="3.28515625" style="87" bestFit="1" customWidth="1"/>
    <col min="10776" max="10776" width="3" style="87" bestFit="1" customWidth="1"/>
    <col min="10777" max="10777" width="7.5703125" style="87" bestFit="1" customWidth="1"/>
    <col min="10778" max="10778" width="0" style="87" hidden="1" customWidth="1"/>
    <col min="10779" max="10779" width="7.5703125" style="87" bestFit="1" customWidth="1"/>
    <col min="10780" max="11008" width="9.140625" style="87"/>
    <col min="11009" max="11011" width="11.5703125" style="87" bestFit="1" customWidth="1"/>
    <col min="11012" max="11012" width="0" style="87" hidden="1" customWidth="1"/>
    <col min="11013" max="11013" width="8" style="87" bestFit="1" customWidth="1"/>
    <col min="11014" max="11014" width="11" style="87" bestFit="1" customWidth="1"/>
    <col min="11015" max="11023" width="0" style="87" hidden="1" customWidth="1"/>
    <col min="11024" max="11024" width="3.140625" style="87" bestFit="1" customWidth="1"/>
    <col min="11025" max="11025" width="3" style="87" bestFit="1" customWidth="1"/>
    <col min="11026" max="11026" width="7.5703125" style="87" bestFit="1" customWidth="1"/>
    <col min="11027" max="11030" width="0" style="87" hidden="1" customWidth="1"/>
    <col min="11031" max="11031" width="3.28515625" style="87" bestFit="1" customWidth="1"/>
    <col min="11032" max="11032" width="3" style="87" bestFit="1" customWidth="1"/>
    <col min="11033" max="11033" width="7.5703125" style="87" bestFit="1" customWidth="1"/>
    <col min="11034" max="11034" width="0" style="87" hidden="1" customWidth="1"/>
    <col min="11035" max="11035" width="7.5703125" style="87" bestFit="1" customWidth="1"/>
    <col min="11036" max="11264" width="9.140625" style="87"/>
    <col min="11265" max="11267" width="11.5703125" style="87" bestFit="1" customWidth="1"/>
    <col min="11268" max="11268" width="0" style="87" hidden="1" customWidth="1"/>
    <col min="11269" max="11269" width="8" style="87" bestFit="1" customWidth="1"/>
    <col min="11270" max="11270" width="11" style="87" bestFit="1" customWidth="1"/>
    <col min="11271" max="11279" width="0" style="87" hidden="1" customWidth="1"/>
    <col min="11280" max="11280" width="3.140625" style="87" bestFit="1" customWidth="1"/>
    <col min="11281" max="11281" width="3" style="87" bestFit="1" customWidth="1"/>
    <col min="11282" max="11282" width="7.5703125" style="87" bestFit="1" customWidth="1"/>
    <col min="11283" max="11286" width="0" style="87" hidden="1" customWidth="1"/>
    <col min="11287" max="11287" width="3.28515625" style="87" bestFit="1" customWidth="1"/>
    <col min="11288" max="11288" width="3" style="87" bestFit="1" customWidth="1"/>
    <col min="11289" max="11289" width="7.5703125" style="87" bestFit="1" customWidth="1"/>
    <col min="11290" max="11290" width="0" style="87" hidden="1" customWidth="1"/>
    <col min="11291" max="11291" width="7.5703125" style="87" bestFit="1" customWidth="1"/>
    <col min="11292" max="11520" width="9.140625" style="87"/>
    <col min="11521" max="11523" width="11.5703125" style="87" bestFit="1" customWidth="1"/>
    <col min="11524" max="11524" width="0" style="87" hidden="1" customWidth="1"/>
    <col min="11525" max="11525" width="8" style="87" bestFit="1" customWidth="1"/>
    <col min="11526" max="11526" width="11" style="87" bestFit="1" customWidth="1"/>
    <col min="11527" max="11535" width="0" style="87" hidden="1" customWidth="1"/>
    <col min="11536" max="11536" width="3.140625" style="87" bestFit="1" customWidth="1"/>
    <col min="11537" max="11537" width="3" style="87" bestFit="1" customWidth="1"/>
    <col min="11538" max="11538" width="7.5703125" style="87" bestFit="1" customWidth="1"/>
    <col min="11539" max="11542" width="0" style="87" hidden="1" customWidth="1"/>
    <col min="11543" max="11543" width="3.28515625" style="87" bestFit="1" customWidth="1"/>
    <col min="11544" max="11544" width="3" style="87" bestFit="1" customWidth="1"/>
    <col min="11545" max="11545" width="7.5703125" style="87" bestFit="1" customWidth="1"/>
    <col min="11546" max="11546" width="0" style="87" hidden="1" customWidth="1"/>
    <col min="11547" max="11547" width="7.5703125" style="87" bestFit="1" customWidth="1"/>
    <col min="11548" max="11776" width="9.140625" style="87"/>
    <col min="11777" max="11779" width="11.5703125" style="87" bestFit="1" customWidth="1"/>
    <col min="11780" max="11780" width="0" style="87" hidden="1" customWidth="1"/>
    <col min="11781" max="11781" width="8" style="87" bestFit="1" customWidth="1"/>
    <col min="11782" max="11782" width="11" style="87" bestFit="1" customWidth="1"/>
    <col min="11783" max="11791" width="0" style="87" hidden="1" customWidth="1"/>
    <col min="11792" max="11792" width="3.140625" style="87" bestFit="1" customWidth="1"/>
    <col min="11793" max="11793" width="3" style="87" bestFit="1" customWidth="1"/>
    <col min="11794" max="11794" width="7.5703125" style="87" bestFit="1" customWidth="1"/>
    <col min="11795" max="11798" width="0" style="87" hidden="1" customWidth="1"/>
    <col min="11799" max="11799" width="3.28515625" style="87" bestFit="1" customWidth="1"/>
    <col min="11800" max="11800" width="3" style="87" bestFit="1" customWidth="1"/>
    <col min="11801" max="11801" width="7.5703125" style="87" bestFit="1" customWidth="1"/>
    <col min="11802" max="11802" width="0" style="87" hidden="1" customWidth="1"/>
    <col min="11803" max="11803" width="7.5703125" style="87" bestFit="1" customWidth="1"/>
    <col min="11804" max="12032" width="9.140625" style="87"/>
    <col min="12033" max="12035" width="11.5703125" style="87" bestFit="1" customWidth="1"/>
    <col min="12036" max="12036" width="0" style="87" hidden="1" customWidth="1"/>
    <col min="12037" max="12037" width="8" style="87" bestFit="1" customWidth="1"/>
    <col min="12038" max="12038" width="11" style="87" bestFit="1" customWidth="1"/>
    <col min="12039" max="12047" width="0" style="87" hidden="1" customWidth="1"/>
    <col min="12048" max="12048" width="3.140625" style="87" bestFit="1" customWidth="1"/>
    <col min="12049" max="12049" width="3" style="87" bestFit="1" customWidth="1"/>
    <col min="12050" max="12050" width="7.5703125" style="87" bestFit="1" customWidth="1"/>
    <col min="12051" max="12054" width="0" style="87" hidden="1" customWidth="1"/>
    <col min="12055" max="12055" width="3.28515625" style="87" bestFit="1" customWidth="1"/>
    <col min="12056" max="12056" width="3" style="87" bestFit="1" customWidth="1"/>
    <col min="12057" max="12057" width="7.5703125" style="87" bestFit="1" customWidth="1"/>
    <col min="12058" max="12058" width="0" style="87" hidden="1" customWidth="1"/>
    <col min="12059" max="12059" width="7.5703125" style="87" bestFit="1" customWidth="1"/>
    <col min="12060" max="12288" width="9.140625" style="87"/>
    <col min="12289" max="12291" width="11.5703125" style="87" bestFit="1" customWidth="1"/>
    <col min="12292" max="12292" width="0" style="87" hidden="1" customWidth="1"/>
    <col min="12293" max="12293" width="8" style="87" bestFit="1" customWidth="1"/>
    <col min="12294" max="12294" width="11" style="87" bestFit="1" customWidth="1"/>
    <col min="12295" max="12303" width="0" style="87" hidden="1" customWidth="1"/>
    <col min="12304" max="12304" width="3.140625" style="87" bestFit="1" customWidth="1"/>
    <col min="12305" max="12305" width="3" style="87" bestFit="1" customWidth="1"/>
    <col min="12306" max="12306" width="7.5703125" style="87" bestFit="1" customWidth="1"/>
    <col min="12307" max="12310" width="0" style="87" hidden="1" customWidth="1"/>
    <col min="12311" max="12311" width="3.28515625" style="87" bestFit="1" customWidth="1"/>
    <col min="12312" max="12312" width="3" style="87" bestFit="1" customWidth="1"/>
    <col min="12313" max="12313" width="7.5703125" style="87" bestFit="1" customWidth="1"/>
    <col min="12314" max="12314" width="0" style="87" hidden="1" customWidth="1"/>
    <col min="12315" max="12315" width="7.5703125" style="87" bestFit="1" customWidth="1"/>
    <col min="12316" max="12544" width="9.140625" style="87"/>
    <col min="12545" max="12547" width="11.5703125" style="87" bestFit="1" customWidth="1"/>
    <col min="12548" max="12548" width="0" style="87" hidden="1" customWidth="1"/>
    <col min="12549" max="12549" width="8" style="87" bestFit="1" customWidth="1"/>
    <col min="12550" max="12550" width="11" style="87" bestFit="1" customWidth="1"/>
    <col min="12551" max="12559" width="0" style="87" hidden="1" customWidth="1"/>
    <col min="12560" max="12560" width="3.140625" style="87" bestFit="1" customWidth="1"/>
    <col min="12561" max="12561" width="3" style="87" bestFit="1" customWidth="1"/>
    <col min="12562" max="12562" width="7.5703125" style="87" bestFit="1" customWidth="1"/>
    <col min="12563" max="12566" width="0" style="87" hidden="1" customWidth="1"/>
    <col min="12567" max="12567" width="3.28515625" style="87" bestFit="1" customWidth="1"/>
    <col min="12568" max="12568" width="3" style="87" bestFit="1" customWidth="1"/>
    <col min="12569" max="12569" width="7.5703125" style="87" bestFit="1" customWidth="1"/>
    <col min="12570" max="12570" width="0" style="87" hidden="1" customWidth="1"/>
    <col min="12571" max="12571" width="7.5703125" style="87" bestFit="1" customWidth="1"/>
    <col min="12572" max="12800" width="9.140625" style="87"/>
    <col min="12801" max="12803" width="11.5703125" style="87" bestFit="1" customWidth="1"/>
    <col min="12804" max="12804" width="0" style="87" hidden="1" customWidth="1"/>
    <col min="12805" max="12805" width="8" style="87" bestFit="1" customWidth="1"/>
    <col min="12806" max="12806" width="11" style="87" bestFit="1" customWidth="1"/>
    <col min="12807" max="12815" width="0" style="87" hidden="1" customWidth="1"/>
    <col min="12816" max="12816" width="3.140625" style="87" bestFit="1" customWidth="1"/>
    <col min="12817" max="12817" width="3" style="87" bestFit="1" customWidth="1"/>
    <col min="12818" max="12818" width="7.5703125" style="87" bestFit="1" customWidth="1"/>
    <col min="12819" max="12822" width="0" style="87" hidden="1" customWidth="1"/>
    <col min="12823" max="12823" width="3.28515625" style="87" bestFit="1" customWidth="1"/>
    <col min="12824" max="12824" width="3" style="87" bestFit="1" customWidth="1"/>
    <col min="12825" max="12825" width="7.5703125" style="87" bestFit="1" customWidth="1"/>
    <col min="12826" max="12826" width="0" style="87" hidden="1" customWidth="1"/>
    <col min="12827" max="12827" width="7.5703125" style="87" bestFit="1" customWidth="1"/>
    <col min="12828" max="13056" width="9.140625" style="87"/>
    <col min="13057" max="13059" width="11.5703125" style="87" bestFit="1" customWidth="1"/>
    <col min="13060" max="13060" width="0" style="87" hidden="1" customWidth="1"/>
    <col min="13061" max="13061" width="8" style="87" bestFit="1" customWidth="1"/>
    <col min="13062" max="13062" width="11" style="87" bestFit="1" customWidth="1"/>
    <col min="13063" max="13071" width="0" style="87" hidden="1" customWidth="1"/>
    <col min="13072" max="13072" width="3.140625" style="87" bestFit="1" customWidth="1"/>
    <col min="13073" max="13073" width="3" style="87" bestFit="1" customWidth="1"/>
    <col min="13074" max="13074" width="7.5703125" style="87" bestFit="1" customWidth="1"/>
    <col min="13075" max="13078" width="0" style="87" hidden="1" customWidth="1"/>
    <col min="13079" max="13079" width="3.28515625" style="87" bestFit="1" customWidth="1"/>
    <col min="13080" max="13080" width="3" style="87" bestFit="1" customWidth="1"/>
    <col min="13081" max="13081" width="7.5703125" style="87" bestFit="1" customWidth="1"/>
    <col min="13082" max="13082" width="0" style="87" hidden="1" customWidth="1"/>
    <col min="13083" max="13083" width="7.5703125" style="87" bestFit="1" customWidth="1"/>
    <col min="13084" max="13312" width="9.140625" style="87"/>
    <col min="13313" max="13315" width="11.5703125" style="87" bestFit="1" customWidth="1"/>
    <col min="13316" max="13316" width="0" style="87" hidden="1" customWidth="1"/>
    <col min="13317" max="13317" width="8" style="87" bestFit="1" customWidth="1"/>
    <col min="13318" max="13318" width="11" style="87" bestFit="1" customWidth="1"/>
    <col min="13319" max="13327" width="0" style="87" hidden="1" customWidth="1"/>
    <col min="13328" max="13328" width="3.140625" style="87" bestFit="1" customWidth="1"/>
    <col min="13329" max="13329" width="3" style="87" bestFit="1" customWidth="1"/>
    <col min="13330" max="13330" width="7.5703125" style="87" bestFit="1" customWidth="1"/>
    <col min="13331" max="13334" width="0" style="87" hidden="1" customWidth="1"/>
    <col min="13335" max="13335" width="3.28515625" style="87" bestFit="1" customWidth="1"/>
    <col min="13336" max="13336" width="3" style="87" bestFit="1" customWidth="1"/>
    <col min="13337" max="13337" width="7.5703125" style="87" bestFit="1" customWidth="1"/>
    <col min="13338" max="13338" width="0" style="87" hidden="1" customWidth="1"/>
    <col min="13339" max="13339" width="7.5703125" style="87" bestFit="1" customWidth="1"/>
    <col min="13340" max="13568" width="9.140625" style="87"/>
    <col min="13569" max="13571" width="11.5703125" style="87" bestFit="1" customWidth="1"/>
    <col min="13572" max="13572" width="0" style="87" hidden="1" customWidth="1"/>
    <col min="13573" max="13573" width="8" style="87" bestFit="1" customWidth="1"/>
    <col min="13574" max="13574" width="11" style="87" bestFit="1" customWidth="1"/>
    <col min="13575" max="13583" width="0" style="87" hidden="1" customWidth="1"/>
    <col min="13584" max="13584" width="3.140625" style="87" bestFit="1" customWidth="1"/>
    <col min="13585" max="13585" width="3" style="87" bestFit="1" customWidth="1"/>
    <col min="13586" max="13586" width="7.5703125" style="87" bestFit="1" customWidth="1"/>
    <col min="13587" max="13590" width="0" style="87" hidden="1" customWidth="1"/>
    <col min="13591" max="13591" width="3.28515625" style="87" bestFit="1" customWidth="1"/>
    <col min="13592" max="13592" width="3" style="87" bestFit="1" customWidth="1"/>
    <col min="13593" max="13593" width="7.5703125" style="87" bestFit="1" customWidth="1"/>
    <col min="13594" max="13594" width="0" style="87" hidden="1" customWidth="1"/>
    <col min="13595" max="13595" width="7.5703125" style="87" bestFit="1" customWidth="1"/>
    <col min="13596" max="13824" width="9.140625" style="87"/>
    <col min="13825" max="13827" width="11.5703125" style="87" bestFit="1" customWidth="1"/>
    <col min="13828" max="13828" width="0" style="87" hidden="1" customWidth="1"/>
    <col min="13829" max="13829" width="8" style="87" bestFit="1" customWidth="1"/>
    <col min="13830" max="13830" width="11" style="87" bestFit="1" customWidth="1"/>
    <col min="13831" max="13839" width="0" style="87" hidden="1" customWidth="1"/>
    <col min="13840" max="13840" width="3.140625" style="87" bestFit="1" customWidth="1"/>
    <col min="13841" max="13841" width="3" style="87" bestFit="1" customWidth="1"/>
    <col min="13842" max="13842" width="7.5703125" style="87" bestFit="1" customWidth="1"/>
    <col min="13843" max="13846" width="0" style="87" hidden="1" customWidth="1"/>
    <col min="13847" max="13847" width="3.28515625" style="87" bestFit="1" customWidth="1"/>
    <col min="13848" max="13848" width="3" style="87" bestFit="1" customWidth="1"/>
    <col min="13849" max="13849" width="7.5703125" style="87" bestFit="1" customWidth="1"/>
    <col min="13850" max="13850" width="0" style="87" hidden="1" customWidth="1"/>
    <col min="13851" max="13851" width="7.5703125" style="87" bestFit="1" customWidth="1"/>
    <col min="13852" max="14080" width="9.140625" style="87"/>
    <col min="14081" max="14083" width="11.5703125" style="87" bestFit="1" customWidth="1"/>
    <col min="14084" max="14084" width="0" style="87" hidden="1" customWidth="1"/>
    <col min="14085" max="14085" width="8" style="87" bestFit="1" customWidth="1"/>
    <col min="14086" max="14086" width="11" style="87" bestFit="1" customWidth="1"/>
    <col min="14087" max="14095" width="0" style="87" hidden="1" customWidth="1"/>
    <col min="14096" max="14096" width="3.140625" style="87" bestFit="1" customWidth="1"/>
    <col min="14097" max="14097" width="3" style="87" bestFit="1" customWidth="1"/>
    <col min="14098" max="14098" width="7.5703125" style="87" bestFit="1" customWidth="1"/>
    <col min="14099" max="14102" width="0" style="87" hidden="1" customWidth="1"/>
    <col min="14103" max="14103" width="3.28515625" style="87" bestFit="1" customWidth="1"/>
    <col min="14104" max="14104" width="3" style="87" bestFit="1" customWidth="1"/>
    <col min="14105" max="14105" width="7.5703125" style="87" bestFit="1" customWidth="1"/>
    <col min="14106" max="14106" width="0" style="87" hidden="1" customWidth="1"/>
    <col min="14107" max="14107" width="7.5703125" style="87" bestFit="1" customWidth="1"/>
    <col min="14108" max="14336" width="9.140625" style="87"/>
    <col min="14337" max="14339" width="11.5703125" style="87" bestFit="1" customWidth="1"/>
    <col min="14340" max="14340" width="0" style="87" hidden="1" customWidth="1"/>
    <col min="14341" max="14341" width="8" style="87" bestFit="1" customWidth="1"/>
    <col min="14342" max="14342" width="11" style="87" bestFit="1" customWidth="1"/>
    <col min="14343" max="14351" width="0" style="87" hidden="1" customWidth="1"/>
    <col min="14352" max="14352" width="3.140625" style="87" bestFit="1" customWidth="1"/>
    <col min="14353" max="14353" width="3" style="87" bestFit="1" customWidth="1"/>
    <col min="14354" max="14354" width="7.5703125" style="87" bestFit="1" customWidth="1"/>
    <col min="14355" max="14358" width="0" style="87" hidden="1" customWidth="1"/>
    <col min="14359" max="14359" width="3.28515625" style="87" bestFit="1" customWidth="1"/>
    <col min="14360" max="14360" width="3" style="87" bestFit="1" customWidth="1"/>
    <col min="14361" max="14361" width="7.5703125" style="87" bestFit="1" customWidth="1"/>
    <col min="14362" max="14362" width="0" style="87" hidden="1" customWidth="1"/>
    <col min="14363" max="14363" width="7.5703125" style="87" bestFit="1" customWidth="1"/>
    <col min="14364" max="14592" width="9.140625" style="87"/>
    <col min="14593" max="14595" width="11.5703125" style="87" bestFit="1" customWidth="1"/>
    <col min="14596" max="14596" width="0" style="87" hidden="1" customWidth="1"/>
    <col min="14597" max="14597" width="8" style="87" bestFit="1" customWidth="1"/>
    <col min="14598" max="14598" width="11" style="87" bestFit="1" customWidth="1"/>
    <col min="14599" max="14607" width="0" style="87" hidden="1" customWidth="1"/>
    <col min="14608" max="14608" width="3.140625" style="87" bestFit="1" customWidth="1"/>
    <col min="14609" max="14609" width="3" style="87" bestFit="1" customWidth="1"/>
    <col min="14610" max="14610" width="7.5703125" style="87" bestFit="1" customWidth="1"/>
    <col min="14611" max="14614" width="0" style="87" hidden="1" customWidth="1"/>
    <col min="14615" max="14615" width="3.28515625" style="87" bestFit="1" customWidth="1"/>
    <col min="14616" max="14616" width="3" style="87" bestFit="1" customWidth="1"/>
    <col min="14617" max="14617" width="7.5703125" style="87" bestFit="1" customWidth="1"/>
    <col min="14618" max="14618" width="0" style="87" hidden="1" customWidth="1"/>
    <col min="14619" max="14619" width="7.5703125" style="87" bestFit="1" customWidth="1"/>
    <col min="14620" max="14848" width="9.140625" style="87"/>
    <col min="14849" max="14851" width="11.5703125" style="87" bestFit="1" customWidth="1"/>
    <col min="14852" max="14852" width="0" style="87" hidden="1" customWidth="1"/>
    <col min="14853" max="14853" width="8" style="87" bestFit="1" customWidth="1"/>
    <col min="14854" max="14854" width="11" style="87" bestFit="1" customWidth="1"/>
    <col min="14855" max="14863" width="0" style="87" hidden="1" customWidth="1"/>
    <col min="14864" max="14864" width="3.140625" style="87" bestFit="1" customWidth="1"/>
    <col min="14865" max="14865" width="3" style="87" bestFit="1" customWidth="1"/>
    <col min="14866" max="14866" width="7.5703125" style="87" bestFit="1" customWidth="1"/>
    <col min="14867" max="14870" width="0" style="87" hidden="1" customWidth="1"/>
    <col min="14871" max="14871" width="3.28515625" style="87" bestFit="1" customWidth="1"/>
    <col min="14872" max="14872" width="3" style="87" bestFit="1" customWidth="1"/>
    <col min="14873" max="14873" width="7.5703125" style="87" bestFit="1" customWidth="1"/>
    <col min="14874" max="14874" width="0" style="87" hidden="1" customWidth="1"/>
    <col min="14875" max="14875" width="7.5703125" style="87" bestFit="1" customWidth="1"/>
    <col min="14876" max="15104" width="9.140625" style="87"/>
    <col min="15105" max="15107" width="11.5703125" style="87" bestFit="1" customWidth="1"/>
    <col min="15108" max="15108" width="0" style="87" hidden="1" customWidth="1"/>
    <col min="15109" max="15109" width="8" style="87" bestFit="1" customWidth="1"/>
    <col min="15110" max="15110" width="11" style="87" bestFit="1" customWidth="1"/>
    <col min="15111" max="15119" width="0" style="87" hidden="1" customWidth="1"/>
    <col min="15120" max="15120" width="3.140625" style="87" bestFit="1" customWidth="1"/>
    <col min="15121" max="15121" width="3" style="87" bestFit="1" customWidth="1"/>
    <col min="15122" max="15122" width="7.5703125" style="87" bestFit="1" customWidth="1"/>
    <col min="15123" max="15126" width="0" style="87" hidden="1" customWidth="1"/>
    <col min="15127" max="15127" width="3.28515625" style="87" bestFit="1" customWidth="1"/>
    <col min="15128" max="15128" width="3" style="87" bestFit="1" customWidth="1"/>
    <col min="15129" max="15129" width="7.5703125" style="87" bestFit="1" customWidth="1"/>
    <col min="15130" max="15130" width="0" style="87" hidden="1" customWidth="1"/>
    <col min="15131" max="15131" width="7.5703125" style="87" bestFit="1" customWidth="1"/>
    <col min="15132" max="15360" width="9.140625" style="87"/>
    <col min="15361" max="15363" width="11.5703125" style="87" bestFit="1" customWidth="1"/>
    <col min="15364" max="15364" width="0" style="87" hidden="1" customWidth="1"/>
    <col min="15365" max="15365" width="8" style="87" bestFit="1" customWidth="1"/>
    <col min="15366" max="15366" width="11" style="87" bestFit="1" customWidth="1"/>
    <col min="15367" max="15375" width="0" style="87" hidden="1" customWidth="1"/>
    <col min="15376" max="15376" width="3.140625" style="87" bestFit="1" customWidth="1"/>
    <col min="15377" max="15377" width="3" style="87" bestFit="1" customWidth="1"/>
    <col min="15378" max="15378" width="7.5703125" style="87" bestFit="1" customWidth="1"/>
    <col min="15379" max="15382" width="0" style="87" hidden="1" customWidth="1"/>
    <col min="15383" max="15383" width="3.28515625" style="87" bestFit="1" customWidth="1"/>
    <col min="15384" max="15384" width="3" style="87" bestFit="1" customWidth="1"/>
    <col min="15385" max="15385" width="7.5703125" style="87" bestFit="1" customWidth="1"/>
    <col min="15386" max="15386" width="0" style="87" hidden="1" customWidth="1"/>
    <col min="15387" max="15387" width="7.5703125" style="87" bestFit="1" customWidth="1"/>
    <col min="15388" max="15616" width="9.140625" style="87"/>
    <col min="15617" max="15619" width="11.5703125" style="87" bestFit="1" customWidth="1"/>
    <col min="15620" max="15620" width="0" style="87" hidden="1" customWidth="1"/>
    <col min="15621" max="15621" width="8" style="87" bestFit="1" customWidth="1"/>
    <col min="15622" max="15622" width="11" style="87" bestFit="1" customWidth="1"/>
    <col min="15623" max="15631" width="0" style="87" hidden="1" customWidth="1"/>
    <col min="15632" max="15632" width="3.140625" style="87" bestFit="1" customWidth="1"/>
    <col min="15633" max="15633" width="3" style="87" bestFit="1" customWidth="1"/>
    <col min="15634" max="15634" width="7.5703125" style="87" bestFit="1" customWidth="1"/>
    <col min="15635" max="15638" width="0" style="87" hidden="1" customWidth="1"/>
    <col min="15639" max="15639" width="3.28515625" style="87" bestFit="1" customWidth="1"/>
    <col min="15640" max="15640" width="3" style="87" bestFit="1" customWidth="1"/>
    <col min="15641" max="15641" width="7.5703125" style="87" bestFit="1" customWidth="1"/>
    <col min="15642" max="15642" width="0" style="87" hidden="1" customWidth="1"/>
    <col min="15643" max="15643" width="7.5703125" style="87" bestFit="1" customWidth="1"/>
    <col min="15644" max="15872" width="9.140625" style="87"/>
    <col min="15873" max="15875" width="11.5703125" style="87" bestFit="1" customWidth="1"/>
    <col min="15876" max="15876" width="0" style="87" hidden="1" customWidth="1"/>
    <col min="15877" max="15877" width="8" style="87" bestFit="1" customWidth="1"/>
    <col min="15878" max="15878" width="11" style="87" bestFit="1" customWidth="1"/>
    <col min="15879" max="15887" width="0" style="87" hidden="1" customWidth="1"/>
    <col min="15888" max="15888" width="3.140625" style="87" bestFit="1" customWidth="1"/>
    <col min="15889" max="15889" width="3" style="87" bestFit="1" customWidth="1"/>
    <col min="15890" max="15890" width="7.5703125" style="87" bestFit="1" customWidth="1"/>
    <col min="15891" max="15894" width="0" style="87" hidden="1" customWidth="1"/>
    <col min="15895" max="15895" width="3.28515625" style="87" bestFit="1" customWidth="1"/>
    <col min="15896" max="15896" width="3" style="87" bestFit="1" customWidth="1"/>
    <col min="15897" max="15897" width="7.5703125" style="87" bestFit="1" customWidth="1"/>
    <col min="15898" max="15898" width="0" style="87" hidden="1" customWidth="1"/>
    <col min="15899" max="15899" width="7.5703125" style="87" bestFit="1" customWidth="1"/>
    <col min="15900" max="16128" width="9.140625" style="87"/>
    <col min="16129" max="16131" width="11.5703125" style="87" bestFit="1" customWidth="1"/>
    <col min="16132" max="16132" width="0" style="87" hidden="1" customWidth="1"/>
    <col min="16133" max="16133" width="8" style="87" bestFit="1" customWidth="1"/>
    <col min="16134" max="16134" width="11" style="87" bestFit="1" customWidth="1"/>
    <col min="16135" max="16143" width="0" style="87" hidden="1" customWidth="1"/>
    <col min="16144" max="16144" width="3.140625" style="87" bestFit="1" customWidth="1"/>
    <col min="16145" max="16145" width="3" style="87" bestFit="1" customWidth="1"/>
    <col min="16146" max="16146" width="7.5703125" style="87" bestFit="1" customWidth="1"/>
    <col min="16147" max="16150" width="0" style="87" hidden="1" customWidth="1"/>
    <col min="16151" max="16151" width="3.28515625" style="87" bestFit="1" customWidth="1"/>
    <col min="16152" max="16152" width="3" style="87" bestFit="1" customWidth="1"/>
    <col min="16153" max="16153" width="7.5703125" style="87" bestFit="1" customWidth="1"/>
    <col min="16154" max="16154" width="0" style="87" hidden="1" customWidth="1"/>
    <col min="16155" max="16155" width="7.5703125" style="87" bestFit="1" customWidth="1"/>
    <col min="16156" max="16384" width="9.140625" style="87"/>
  </cols>
  <sheetData>
    <row r="1" spans="1:27" ht="27.75" customHeight="1" x14ac:dyDescent="0.2">
      <c r="A1" s="111" t="s">
        <v>118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x14ac:dyDescent="0.2">
      <c r="A2" s="88" t="s">
        <v>110</v>
      </c>
      <c r="B2" s="88" t="s">
        <v>111</v>
      </c>
      <c r="C2" s="88" t="s">
        <v>112</v>
      </c>
      <c r="D2" s="88" t="s">
        <v>78</v>
      </c>
      <c r="E2" s="88" t="s">
        <v>33</v>
      </c>
      <c r="F2" s="88" t="s">
        <v>9</v>
      </c>
      <c r="G2" s="88" t="s">
        <v>35</v>
      </c>
      <c r="H2" s="88" t="s">
        <v>79</v>
      </c>
      <c r="I2" s="88" t="s">
        <v>80</v>
      </c>
      <c r="J2" s="88" t="s">
        <v>81</v>
      </c>
      <c r="K2" s="88" t="s">
        <v>82</v>
      </c>
      <c r="L2" s="88" t="s">
        <v>34</v>
      </c>
      <c r="M2" s="88" t="s">
        <v>83</v>
      </c>
      <c r="N2" s="88" t="s">
        <v>84</v>
      </c>
      <c r="O2" s="88" t="s">
        <v>51</v>
      </c>
      <c r="P2" s="88" t="s">
        <v>52</v>
      </c>
      <c r="Q2" s="88" t="s">
        <v>53</v>
      </c>
      <c r="R2" s="88" t="s">
        <v>54</v>
      </c>
      <c r="S2" s="88" t="s">
        <v>55</v>
      </c>
      <c r="T2" s="88" t="s">
        <v>32</v>
      </c>
      <c r="U2" s="88" t="s">
        <v>85</v>
      </c>
      <c r="V2" s="88" t="s">
        <v>57</v>
      </c>
      <c r="W2" s="88" t="s">
        <v>59</v>
      </c>
      <c r="X2" s="88" t="s">
        <v>60</v>
      </c>
      <c r="Y2" s="88" t="s">
        <v>61</v>
      </c>
      <c r="Z2" s="88" t="s">
        <v>58</v>
      </c>
      <c r="AA2" s="88" t="s">
        <v>26</v>
      </c>
    </row>
    <row r="3" spans="1:27" x14ac:dyDescent="0.2">
      <c r="A3" s="91">
        <v>2890103.1209565382</v>
      </c>
      <c r="B3" s="91">
        <v>2196983.2265322176</v>
      </c>
      <c r="C3" s="91">
        <v>5226891.676270063</v>
      </c>
      <c r="D3" s="88">
        <f>(A3^2+B3^2)^0.5</f>
        <v>3630348.653700721</v>
      </c>
      <c r="E3" s="98">
        <v>6378245</v>
      </c>
      <c r="F3" s="99">
        <f>1/298.3</f>
        <v>3.352329869259135E-3</v>
      </c>
      <c r="G3" s="88">
        <f>2*F3-F3^2</f>
        <v>6.6934216229659433E-3</v>
      </c>
      <c r="H3" s="88">
        <f>(A3^2+B3^2+C3^2)^0.5</f>
        <v>6363947.5125811575</v>
      </c>
      <c r="I3" s="88">
        <f>ASIN(C3/H3)</f>
        <v>0.96373602854759222</v>
      </c>
      <c r="J3" s="88">
        <f>G3*E3/(2*H3)</f>
        <v>3.3542296597492537E-3</v>
      </c>
      <c r="K3" s="88">
        <f ca="1">M3</f>
        <v>3.1428394533742584E-3</v>
      </c>
      <c r="L3" s="88">
        <f ca="1">I3+K3</f>
        <v>0.96687886800096645</v>
      </c>
      <c r="M3" s="88">
        <f ca="1">ASIN((J3*SIN(2*L3))/((1-G3*(SIN(L3))^2)^0.5))</f>
        <v>3.1428394533742584E-3</v>
      </c>
      <c r="N3" s="88">
        <f ca="1">M3-K3</f>
        <v>0</v>
      </c>
      <c r="O3" s="88">
        <f ca="1">L3</f>
        <v>0.96687886800096645</v>
      </c>
      <c r="P3" s="100">
        <f ca="1">INT(S3)</f>
        <v>55</v>
      </c>
      <c r="Q3" s="100">
        <f ca="1">IF((ROUND(((((S3-P3)*60)-INT((S3-P3)*60))*60),4))&lt;60,(INT((S3-P3)*60)),(INT((S3-P3)*60)+1))</f>
        <v>23</v>
      </c>
      <c r="R3" s="101">
        <f ca="1">IF((ROUND(((((S3-P3)*60)-INT((S3-P3)*60))*60),4))&lt;60,(ROUND(((((S3-P3)*60)-INT((S3-P3)*60))*60),4)),0)</f>
        <v>53.0824</v>
      </c>
      <c r="S3" s="88">
        <f ca="1">DEGREES(O3)</f>
        <v>55.398078436841999</v>
      </c>
      <c r="T3" s="88">
        <f>IF(D3&lt;&gt;0,(((ASIN(B3/D3))^2)^0.5),0)</f>
        <v>0.64998116774492065</v>
      </c>
      <c r="U3" s="88">
        <f>IF(AND(A3&gt;0,B3=0),0,IF(AND(A3&lt;0,B3=0),PI(),IF(AND(A3=0,B3&gt;0),PI()/2,IF(AND(A3=0,B3&lt;0),PI()*1.5,IF(AND(A3=0,B3=0),0,0)))))</f>
        <v>0</v>
      </c>
      <c r="V3" s="88">
        <f>IF(D3=0,0,IF(AND(B3&lt;0,A3&gt;0),2*PI()-T3,IF(AND(A3&lt;0,B3&lt;0),PI()+T3,IF(AND(B3&gt;0,A3&lt;0),PI()-T3,IF(AND(A3&gt;0,B3&gt;0),T3,U3)))))</f>
        <v>0.64998116774492065</v>
      </c>
      <c r="W3" s="100">
        <f>INT(Z3)</f>
        <v>37</v>
      </c>
      <c r="X3" s="100">
        <f>IF((ROUND(((((Z3-W3)*60)-INT((Z3-W3)*60))*60),4))&lt;60,(INT((Z3-W3)*60)),(INT((Z3-W3)*60)+1))</f>
        <v>14</v>
      </c>
      <c r="Y3" s="101">
        <f>IF((ROUND(((((Z3-W3)*60)-INT((Z3-W3)*60))*60),4))&lt;60,(ROUND(((((Z3-W3)*60)-INT((Z3-W3)*60))*60),4)),0)</f>
        <v>28.239599999999999</v>
      </c>
      <c r="Z3" s="88">
        <f>DEGREES(V3)</f>
        <v>37.24117767476875</v>
      </c>
      <c r="AA3" s="92">
        <f ca="1">D3*COS(O3)+C3*SIN(O3)-E3*((1-G3*((SIN(O3))^2))^0.5)</f>
        <v>150.00000000093132</v>
      </c>
    </row>
    <row r="4" spans="1:27" x14ac:dyDescent="0.2">
      <c r="A4" s="91">
        <v>2889967.1630265405</v>
      </c>
      <c r="B4" s="91">
        <v>2197408.1710368455</v>
      </c>
      <c r="C4" s="91">
        <v>5226788.9098677933</v>
      </c>
      <c r="D4" s="88">
        <f>(A4^2+B4^2)^0.5</f>
        <v>3630497.6068730806</v>
      </c>
      <c r="E4" s="98">
        <v>6378245</v>
      </c>
      <c r="F4" s="99">
        <f>1/298.3</f>
        <v>3.352329869259135E-3</v>
      </c>
      <c r="G4" s="88">
        <f>2*F4-F4^2</f>
        <v>6.6934216229659433E-3</v>
      </c>
      <c r="H4" s="88">
        <f>(A4^2+B4^2+C4^2)^0.5</f>
        <v>6363948.0813271981</v>
      </c>
      <c r="I4" s="88">
        <f>ASIN(C4/H4)</f>
        <v>0.96370759287458763</v>
      </c>
      <c r="J4" s="88">
        <f>G4*E4/(2*H4)</f>
        <v>3.3542293599817486E-3</v>
      </c>
      <c r="K4" s="88">
        <f ca="1">M4</f>
        <v>3.1429066094062832E-3</v>
      </c>
      <c r="L4" s="88">
        <f ca="1">I4+K4</f>
        <v>0.96685049948399393</v>
      </c>
      <c r="M4" s="88">
        <f ca="1">ASIN((J4*SIN(2*L4))/((1-G4*(SIN(L4))^2)^0.5))</f>
        <v>3.1429066094062832E-3</v>
      </c>
      <c r="N4" s="88">
        <f ca="1">M4-K4</f>
        <v>0</v>
      </c>
      <c r="O4" s="88">
        <f ca="1">L4</f>
        <v>0.96685049948399393</v>
      </c>
      <c r="P4" s="100">
        <f ca="1">INT(S4)</f>
        <v>55</v>
      </c>
      <c r="Q4" s="100">
        <f ca="1">IF((ROUND(((((S4-P4)*60)-INT((S4-P4)*60))*60),4))&lt;60,(INT((S4-P4)*60)),(INT((S4-P4)*60)+1))</f>
        <v>23</v>
      </c>
      <c r="R4" s="101">
        <f ca="1">IF((ROUND(((((S4-P4)*60)-INT((S4-P4)*60))*60),4))&lt;60,(ROUND(((((S4-P4)*60)-INT((S4-P4)*60))*60),4)),0)</f>
        <v>47.230899999999998</v>
      </c>
      <c r="S4" s="88">
        <f ca="1">DEGREES(O4)</f>
        <v>55.39645304054843</v>
      </c>
      <c r="T4" s="88">
        <f>IF(D4&lt;&gt;0,(((ASIN(B4/D4))^2)^0.5),0)</f>
        <v>0.65009701250716156</v>
      </c>
      <c r="U4" s="88">
        <f>IF(AND(A4&gt;0,B4=0),0,IF(AND(A4&lt;0,B4=0),PI(),IF(AND(A4=0,B4&gt;0),PI()/2,IF(AND(A4=0,B4&lt;0),PI()*1.5,IF(AND(A4=0,B4=0),0,0)))))</f>
        <v>0</v>
      </c>
      <c r="V4" s="88">
        <f>IF(D4=0,0,IF(AND(B4&lt;0,A4&gt;0),2*PI()-T4,IF(AND(A4&lt;0,B4&lt;0),PI()+T4,IF(AND(B4&gt;0,A4&lt;0),PI()-T4,IF(AND(A4&gt;0,B4&gt;0),T4,U4)))))</f>
        <v>0.65009701250716156</v>
      </c>
      <c r="W4" s="100">
        <f>INT(Z4)</f>
        <v>37</v>
      </c>
      <c r="X4" s="100">
        <f>IF((ROUND(((((Z4-W4)*60)-INT((Z4-W4)*60))*60),4))&lt;60,(INT((Z4-W4)*60)),(INT((Z4-W4)*60)+1))</f>
        <v>14</v>
      </c>
      <c r="Y4" s="101">
        <f>IF((ROUND(((((Z4-W4)*60)-INT((Z4-W4)*60))*60),4))&lt;60,(ROUND(((((Z4-W4)*60)-INT((Z4-W4)*60))*60),4)),0)</f>
        <v>52.134300000000003</v>
      </c>
      <c r="Z4" s="88">
        <f>DEGREES(V4)</f>
        <v>37.247815090723847</v>
      </c>
      <c r="AA4" s="92">
        <f ca="1">D4*COS(O4)+C4*SIN(O4)-E4*((1-G4*((SIN(O4))^2))^0.5)</f>
        <v>150</v>
      </c>
    </row>
    <row r="5" spans="1:27" x14ac:dyDescent="0.2">
      <c r="A5" s="91">
        <v>2890126.5403282233</v>
      </c>
      <c r="B5" s="91">
        <v>2196852.962720477</v>
      </c>
      <c r="C5" s="91">
        <v>5226804.7222885285</v>
      </c>
      <c r="D5" s="88">
        <f>(A5^2+B5^2)^0.5</f>
        <v>3630288.4677286078</v>
      </c>
      <c r="E5" s="98">
        <v>6378137</v>
      </c>
      <c r="F5" s="99">
        <f>1/298.257223563</f>
        <v>3.3528106647474805E-3</v>
      </c>
      <c r="G5" s="88">
        <f>2*F5-F5^2</f>
        <v>6.6943799901413165E-3</v>
      </c>
      <c r="H5" s="88">
        <f>(A5^2+B5^2+C5^2)^0.5</f>
        <v>6363841.761378184</v>
      </c>
      <c r="I5" s="88">
        <f>ASIN(C5/H5)</f>
        <v>0.96373600168991747</v>
      </c>
      <c r="J5" s="88">
        <f>G5*E5/(2*H5)</f>
        <v>3.3547088620516827E-3</v>
      </c>
      <c r="K5" s="88">
        <f ca="1">M5</f>
        <v>3.1432884782359718E-3</v>
      </c>
      <c r="L5" s="88">
        <f ca="1">I5+K5</f>
        <v>0.96687929016815344</v>
      </c>
      <c r="M5" s="88">
        <f ca="1">ASIN((J5*SIN(2*L5))/((1-G5*(SIN(L5))^2)^0.5))</f>
        <v>3.1432884782359718E-3</v>
      </c>
      <c r="N5" s="88">
        <f ca="1">M5-K5</f>
        <v>0</v>
      </c>
      <c r="O5" s="88">
        <f ca="1">L5</f>
        <v>0.96687929016815344</v>
      </c>
      <c r="P5" s="100">
        <f ca="1">INT(S5)</f>
        <v>55</v>
      </c>
      <c r="Q5" s="100">
        <f ca="1">IF((ROUND(((((S5-P5)*60)-INT((S5-P5)*60))*60),4))&lt;60,(INT((S5-P5)*60)),(INT((S5-P5)*60)+1))</f>
        <v>23</v>
      </c>
      <c r="R5" s="101">
        <f ca="1">IF((ROUND(((((S5-P5)*60)-INT((S5-P5)*60))*60),4))&lt;60,(ROUND(((((S5-P5)*60)-INT((S5-P5)*60))*60),4)),0)</f>
        <v>53.169499999999999</v>
      </c>
      <c r="S5" s="88">
        <f ca="1">DEGREES(O5)</f>
        <v>55.398102625240064</v>
      </c>
      <c r="T5" s="88">
        <f>IF(D5&lt;&gt;0,(((ASIN(B5/D5))^2)^0.5),0)</f>
        <v>0.64994869783791431</v>
      </c>
      <c r="U5" s="88">
        <f>IF(AND(A5&gt;0,B5=0),0,IF(AND(A5&lt;0,B5=0),PI(),IF(AND(A5=0,B5&gt;0),PI()/2,IF(AND(A5=0,B5&lt;0),PI()*1.5,IF(AND(A5=0,B5=0),0,0)))))</f>
        <v>0</v>
      </c>
      <c r="V5" s="88">
        <f>IF(D5=0,0,IF(AND(B5&lt;0,A5&gt;0),2*PI()-T5,IF(AND(A5&lt;0,B5&lt;0),PI()+T5,IF(AND(B5&gt;0,A5&lt;0),PI()-T5,IF(AND(A5&gt;0,B5&gt;0),T5,U5)))))</f>
        <v>0.64994869783791431</v>
      </c>
      <c r="W5" s="100">
        <f>INT(Z5)</f>
        <v>37</v>
      </c>
      <c r="X5" s="100">
        <f>IF((ROUND(((((Z5-W5)*60)-INT((Z5-W5)*60))*60),4))&lt;60,(INT((Z5-W5)*60)),(INT((Z5-W5)*60)+1))</f>
        <v>14</v>
      </c>
      <c r="Y5" s="101">
        <f>IF((ROUND(((((Z5-W5)*60)-INT((Z5-W5)*60))*60),4))&lt;60,(ROUND(((((Z5-W5)*60)-INT((Z5-W5)*60))*60),4)),0)</f>
        <v>21.542200000000001</v>
      </c>
      <c r="Z5" s="88">
        <f>DEGREES(V5)</f>
        <v>37.239317286136107</v>
      </c>
      <c r="AA5" s="92">
        <f ca="1">D5*COS(O5)+C5*SIN(O5)-E5*((1-G5*((SIN(O5))^2))^0.5)</f>
        <v>154.07903916016221</v>
      </c>
    </row>
    <row r="6" spans="1:27" x14ac:dyDescent="0.2">
      <c r="A6" s="91">
        <v>2889990.580564402</v>
      </c>
      <c r="B6" s="91">
        <v>2197277.9065911206</v>
      </c>
      <c r="C6" s="91">
        <v>5226701.9561395673</v>
      </c>
      <c r="D6" s="88">
        <f>(A6^2+B6^2)^0.5</f>
        <v>3630437.4054023335</v>
      </c>
      <c r="E6" s="98">
        <v>6378137</v>
      </c>
      <c r="F6" s="99">
        <f>1/298.257223563</f>
        <v>3.3528106647474805E-3</v>
      </c>
      <c r="G6" s="88">
        <f>2*F6-F6^2</f>
        <v>6.6943799901413165E-3</v>
      </c>
      <c r="H6" s="88">
        <f>(A6^2+B6^2+C6^2)^0.5</f>
        <v>6363842.3214955293</v>
      </c>
      <c r="I6" s="88">
        <f>ASIN(C6/H6)</f>
        <v>0.96370756756733389</v>
      </c>
      <c r="J6" s="88">
        <f>G6*E6/(2*H6)</f>
        <v>3.3547085667849984E-3</v>
      </c>
      <c r="K6" s="88">
        <f ca="1">M6</f>
        <v>3.1433556445419771E-3</v>
      </c>
      <c r="L6" s="88">
        <f ca="1">I6+K6</f>
        <v>0.96685092321187582</v>
      </c>
      <c r="M6" s="88">
        <f ca="1">ASIN((J6*SIN(2*L6))/((1-G6*(SIN(L6))^2)^0.5))</f>
        <v>3.1433556445419771E-3</v>
      </c>
      <c r="N6" s="88">
        <f ca="1">M6-K6</f>
        <v>0</v>
      </c>
      <c r="O6" s="88">
        <f ca="1">L6</f>
        <v>0.96685092321187582</v>
      </c>
      <c r="P6" s="100">
        <f ca="1">INT(S6)</f>
        <v>55</v>
      </c>
      <c r="Q6" s="100">
        <f ca="1">IF((ROUND(((((S6-P6)*60)-INT((S6-P6)*60))*60),4))&lt;60,(INT((S6-P6)*60)),(INT((S6-P6)*60)+1))</f>
        <v>23</v>
      </c>
      <c r="R6" s="101">
        <f ca="1">IF((ROUND(((((S6-P6)*60)-INT((S6-P6)*60))*60),4))&lt;60,(ROUND(((((S6-P6)*60)-INT((S6-P6)*60))*60),4)),0)</f>
        <v>47.318300000000001</v>
      </c>
      <c r="S6" s="88">
        <f ca="1">DEGREES(O6)</f>
        <v>55.396477318367722</v>
      </c>
      <c r="T6" s="88">
        <f>IF(D6&lt;&gt;0,(((ASIN(B6/D6))^2)^0.5),0)</f>
        <v>0.6500645460197193</v>
      </c>
      <c r="U6" s="88">
        <f>IF(AND(A6&gt;0,B6=0),0,IF(AND(A6&lt;0,B6=0),PI(),IF(AND(A6=0,B6&gt;0),PI()/2,IF(AND(A6=0,B6&lt;0),PI()*1.5,IF(AND(A6=0,B6=0),0,0)))))</f>
        <v>0</v>
      </c>
      <c r="V6" s="88">
        <f>IF(D6=0,0,IF(AND(B6&lt;0,A6&gt;0),2*PI()-T6,IF(AND(A6&lt;0,B6&lt;0),PI()+T6,IF(AND(B6&gt;0,A6&lt;0),PI()-T6,IF(AND(A6&gt;0,B6&gt;0),T6,U6)))))</f>
        <v>0.6500645460197193</v>
      </c>
      <c r="W6" s="100">
        <f>INT(Z6)</f>
        <v>37</v>
      </c>
      <c r="X6" s="100">
        <f>IF((ROUND(((((Z6-W6)*60)-INT((Z6-W6)*60))*60),4))&lt;60,(INT((Z6-W6)*60)),(INT((Z6-W6)*60)+1))</f>
        <v>14</v>
      </c>
      <c r="Y6" s="101">
        <f>IF((ROUND(((((Z6-W6)*60)-INT((Z6-W6)*60))*60),4))&lt;60,(ROUND(((((Z6-W6)*60)-INT((Z6-W6)*60))*60),4)),0)</f>
        <v>45.437600000000003</v>
      </c>
      <c r="Z6" s="88">
        <f>DEGREES(V6)</f>
        <v>37.245954898017793</v>
      </c>
      <c r="AA6" s="92">
        <f ca="1">D6*COS(O6)+C6*SIN(O6)-E6*((1-G6*((SIN(O6))^2))^0.5)</f>
        <v>154.07036971580237</v>
      </c>
    </row>
  </sheetData>
  <mergeCells count="1">
    <mergeCell ref="A1:AA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sqref="A1:P1"/>
    </sheetView>
  </sheetViews>
  <sheetFormatPr defaultRowHeight="15" x14ac:dyDescent="0.25"/>
  <cols>
    <col min="1" max="3" width="11.5703125" bestFit="1" customWidth="1"/>
    <col min="4" max="4" width="6.5703125" bestFit="1" customWidth="1"/>
    <col min="5" max="5" width="8.28515625" bestFit="1" customWidth="1"/>
    <col min="6" max="6" width="7.28515625" bestFit="1" customWidth="1"/>
    <col min="7" max="7" width="6.5703125" bestFit="1" customWidth="1"/>
    <col min="8" max="9" width="7.28515625" bestFit="1" customWidth="1"/>
    <col min="10" max="10" width="8.5703125" hidden="1" customWidth="1"/>
    <col min="11" max="12" width="9" hidden="1" customWidth="1"/>
    <col min="13" max="13" width="6.42578125" bestFit="1" customWidth="1"/>
    <col min="14" max="16" width="11.5703125" bestFit="1" customWidth="1"/>
    <col min="257" max="259" width="11.5703125" bestFit="1" customWidth="1"/>
    <col min="260" max="260" width="6.5703125" bestFit="1" customWidth="1"/>
    <col min="261" max="261" width="8.28515625" bestFit="1" customWidth="1"/>
    <col min="262" max="262" width="7.28515625" bestFit="1" customWidth="1"/>
    <col min="263" max="263" width="6.5703125" bestFit="1" customWidth="1"/>
    <col min="264" max="265" width="7.28515625" bestFit="1" customWidth="1"/>
    <col min="266" max="268" width="0" hidden="1" customWidth="1"/>
    <col min="269" max="269" width="6.42578125" bestFit="1" customWidth="1"/>
    <col min="270" max="272" width="11.5703125" bestFit="1" customWidth="1"/>
    <col min="513" max="515" width="11.5703125" bestFit="1" customWidth="1"/>
    <col min="516" max="516" width="6.5703125" bestFit="1" customWidth="1"/>
    <col min="517" max="517" width="8.28515625" bestFit="1" customWidth="1"/>
    <col min="518" max="518" width="7.28515625" bestFit="1" customWidth="1"/>
    <col min="519" max="519" width="6.5703125" bestFit="1" customWidth="1"/>
    <col min="520" max="521" width="7.28515625" bestFit="1" customWidth="1"/>
    <col min="522" max="524" width="0" hidden="1" customWidth="1"/>
    <col min="525" max="525" width="6.42578125" bestFit="1" customWidth="1"/>
    <col min="526" max="528" width="11.5703125" bestFit="1" customWidth="1"/>
    <col min="769" max="771" width="11.5703125" bestFit="1" customWidth="1"/>
    <col min="772" max="772" width="6.5703125" bestFit="1" customWidth="1"/>
    <col min="773" max="773" width="8.28515625" bestFit="1" customWidth="1"/>
    <col min="774" max="774" width="7.28515625" bestFit="1" customWidth="1"/>
    <col min="775" max="775" width="6.5703125" bestFit="1" customWidth="1"/>
    <col min="776" max="777" width="7.28515625" bestFit="1" customWidth="1"/>
    <col min="778" max="780" width="0" hidden="1" customWidth="1"/>
    <col min="781" max="781" width="6.42578125" bestFit="1" customWidth="1"/>
    <col min="782" max="784" width="11.5703125" bestFit="1" customWidth="1"/>
    <col min="1025" max="1027" width="11.5703125" bestFit="1" customWidth="1"/>
    <col min="1028" max="1028" width="6.5703125" bestFit="1" customWidth="1"/>
    <col min="1029" max="1029" width="8.28515625" bestFit="1" customWidth="1"/>
    <col min="1030" max="1030" width="7.28515625" bestFit="1" customWidth="1"/>
    <col min="1031" max="1031" width="6.5703125" bestFit="1" customWidth="1"/>
    <col min="1032" max="1033" width="7.28515625" bestFit="1" customWidth="1"/>
    <col min="1034" max="1036" width="0" hidden="1" customWidth="1"/>
    <col min="1037" max="1037" width="6.42578125" bestFit="1" customWidth="1"/>
    <col min="1038" max="1040" width="11.5703125" bestFit="1" customWidth="1"/>
    <col min="1281" max="1283" width="11.5703125" bestFit="1" customWidth="1"/>
    <col min="1284" max="1284" width="6.5703125" bestFit="1" customWidth="1"/>
    <col min="1285" max="1285" width="8.28515625" bestFit="1" customWidth="1"/>
    <col min="1286" max="1286" width="7.28515625" bestFit="1" customWidth="1"/>
    <col min="1287" max="1287" width="6.5703125" bestFit="1" customWidth="1"/>
    <col min="1288" max="1289" width="7.28515625" bestFit="1" customWidth="1"/>
    <col min="1290" max="1292" width="0" hidden="1" customWidth="1"/>
    <col min="1293" max="1293" width="6.42578125" bestFit="1" customWidth="1"/>
    <col min="1294" max="1296" width="11.5703125" bestFit="1" customWidth="1"/>
    <col min="1537" max="1539" width="11.5703125" bestFit="1" customWidth="1"/>
    <col min="1540" max="1540" width="6.5703125" bestFit="1" customWidth="1"/>
    <col min="1541" max="1541" width="8.28515625" bestFit="1" customWidth="1"/>
    <col min="1542" max="1542" width="7.28515625" bestFit="1" customWidth="1"/>
    <col min="1543" max="1543" width="6.5703125" bestFit="1" customWidth="1"/>
    <col min="1544" max="1545" width="7.28515625" bestFit="1" customWidth="1"/>
    <col min="1546" max="1548" width="0" hidden="1" customWidth="1"/>
    <col min="1549" max="1549" width="6.42578125" bestFit="1" customWidth="1"/>
    <col min="1550" max="1552" width="11.5703125" bestFit="1" customWidth="1"/>
    <col min="1793" max="1795" width="11.5703125" bestFit="1" customWidth="1"/>
    <col min="1796" max="1796" width="6.5703125" bestFit="1" customWidth="1"/>
    <col min="1797" max="1797" width="8.28515625" bestFit="1" customWidth="1"/>
    <col min="1798" max="1798" width="7.28515625" bestFit="1" customWidth="1"/>
    <col min="1799" max="1799" width="6.5703125" bestFit="1" customWidth="1"/>
    <col min="1800" max="1801" width="7.28515625" bestFit="1" customWidth="1"/>
    <col min="1802" max="1804" width="0" hidden="1" customWidth="1"/>
    <col min="1805" max="1805" width="6.42578125" bestFit="1" customWidth="1"/>
    <col min="1806" max="1808" width="11.5703125" bestFit="1" customWidth="1"/>
    <col min="2049" max="2051" width="11.5703125" bestFit="1" customWidth="1"/>
    <col min="2052" max="2052" width="6.5703125" bestFit="1" customWidth="1"/>
    <col min="2053" max="2053" width="8.28515625" bestFit="1" customWidth="1"/>
    <col min="2054" max="2054" width="7.28515625" bestFit="1" customWidth="1"/>
    <col min="2055" max="2055" width="6.5703125" bestFit="1" customWidth="1"/>
    <col min="2056" max="2057" width="7.28515625" bestFit="1" customWidth="1"/>
    <col min="2058" max="2060" width="0" hidden="1" customWidth="1"/>
    <col min="2061" max="2061" width="6.42578125" bestFit="1" customWidth="1"/>
    <col min="2062" max="2064" width="11.5703125" bestFit="1" customWidth="1"/>
    <col min="2305" max="2307" width="11.5703125" bestFit="1" customWidth="1"/>
    <col min="2308" max="2308" width="6.5703125" bestFit="1" customWidth="1"/>
    <col min="2309" max="2309" width="8.28515625" bestFit="1" customWidth="1"/>
    <col min="2310" max="2310" width="7.28515625" bestFit="1" customWidth="1"/>
    <col min="2311" max="2311" width="6.5703125" bestFit="1" customWidth="1"/>
    <col min="2312" max="2313" width="7.28515625" bestFit="1" customWidth="1"/>
    <col min="2314" max="2316" width="0" hidden="1" customWidth="1"/>
    <col min="2317" max="2317" width="6.42578125" bestFit="1" customWidth="1"/>
    <col min="2318" max="2320" width="11.5703125" bestFit="1" customWidth="1"/>
    <col min="2561" max="2563" width="11.5703125" bestFit="1" customWidth="1"/>
    <col min="2564" max="2564" width="6.5703125" bestFit="1" customWidth="1"/>
    <col min="2565" max="2565" width="8.28515625" bestFit="1" customWidth="1"/>
    <col min="2566" max="2566" width="7.28515625" bestFit="1" customWidth="1"/>
    <col min="2567" max="2567" width="6.5703125" bestFit="1" customWidth="1"/>
    <col min="2568" max="2569" width="7.28515625" bestFit="1" customWidth="1"/>
    <col min="2570" max="2572" width="0" hidden="1" customWidth="1"/>
    <col min="2573" max="2573" width="6.42578125" bestFit="1" customWidth="1"/>
    <col min="2574" max="2576" width="11.5703125" bestFit="1" customWidth="1"/>
    <col min="2817" max="2819" width="11.5703125" bestFit="1" customWidth="1"/>
    <col min="2820" max="2820" width="6.5703125" bestFit="1" customWidth="1"/>
    <col min="2821" max="2821" width="8.28515625" bestFit="1" customWidth="1"/>
    <col min="2822" max="2822" width="7.28515625" bestFit="1" customWidth="1"/>
    <col min="2823" max="2823" width="6.5703125" bestFit="1" customWidth="1"/>
    <col min="2824" max="2825" width="7.28515625" bestFit="1" customWidth="1"/>
    <col min="2826" max="2828" width="0" hidden="1" customWidth="1"/>
    <col min="2829" max="2829" width="6.42578125" bestFit="1" customWidth="1"/>
    <col min="2830" max="2832" width="11.5703125" bestFit="1" customWidth="1"/>
    <col min="3073" max="3075" width="11.5703125" bestFit="1" customWidth="1"/>
    <col min="3076" max="3076" width="6.5703125" bestFit="1" customWidth="1"/>
    <col min="3077" max="3077" width="8.28515625" bestFit="1" customWidth="1"/>
    <col min="3078" max="3078" width="7.28515625" bestFit="1" customWidth="1"/>
    <col min="3079" max="3079" width="6.5703125" bestFit="1" customWidth="1"/>
    <col min="3080" max="3081" width="7.28515625" bestFit="1" customWidth="1"/>
    <col min="3082" max="3084" width="0" hidden="1" customWidth="1"/>
    <col min="3085" max="3085" width="6.42578125" bestFit="1" customWidth="1"/>
    <col min="3086" max="3088" width="11.5703125" bestFit="1" customWidth="1"/>
    <col min="3329" max="3331" width="11.5703125" bestFit="1" customWidth="1"/>
    <col min="3332" max="3332" width="6.5703125" bestFit="1" customWidth="1"/>
    <col min="3333" max="3333" width="8.28515625" bestFit="1" customWidth="1"/>
    <col min="3334" max="3334" width="7.28515625" bestFit="1" customWidth="1"/>
    <col min="3335" max="3335" width="6.5703125" bestFit="1" customWidth="1"/>
    <col min="3336" max="3337" width="7.28515625" bestFit="1" customWidth="1"/>
    <col min="3338" max="3340" width="0" hidden="1" customWidth="1"/>
    <col min="3341" max="3341" width="6.42578125" bestFit="1" customWidth="1"/>
    <col min="3342" max="3344" width="11.5703125" bestFit="1" customWidth="1"/>
    <col min="3585" max="3587" width="11.5703125" bestFit="1" customWidth="1"/>
    <col min="3588" max="3588" width="6.5703125" bestFit="1" customWidth="1"/>
    <col min="3589" max="3589" width="8.28515625" bestFit="1" customWidth="1"/>
    <col min="3590" max="3590" width="7.28515625" bestFit="1" customWidth="1"/>
    <col min="3591" max="3591" width="6.5703125" bestFit="1" customWidth="1"/>
    <col min="3592" max="3593" width="7.28515625" bestFit="1" customWidth="1"/>
    <col min="3594" max="3596" width="0" hidden="1" customWidth="1"/>
    <col min="3597" max="3597" width="6.42578125" bestFit="1" customWidth="1"/>
    <col min="3598" max="3600" width="11.5703125" bestFit="1" customWidth="1"/>
    <col min="3841" max="3843" width="11.5703125" bestFit="1" customWidth="1"/>
    <col min="3844" max="3844" width="6.5703125" bestFit="1" customWidth="1"/>
    <col min="3845" max="3845" width="8.28515625" bestFit="1" customWidth="1"/>
    <col min="3846" max="3846" width="7.28515625" bestFit="1" customWidth="1"/>
    <col min="3847" max="3847" width="6.5703125" bestFit="1" customWidth="1"/>
    <col min="3848" max="3849" width="7.28515625" bestFit="1" customWidth="1"/>
    <col min="3850" max="3852" width="0" hidden="1" customWidth="1"/>
    <col min="3853" max="3853" width="6.42578125" bestFit="1" customWidth="1"/>
    <col min="3854" max="3856" width="11.5703125" bestFit="1" customWidth="1"/>
    <col min="4097" max="4099" width="11.5703125" bestFit="1" customWidth="1"/>
    <col min="4100" max="4100" width="6.5703125" bestFit="1" customWidth="1"/>
    <col min="4101" max="4101" width="8.28515625" bestFit="1" customWidth="1"/>
    <col min="4102" max="4102" width="7.28515625" bestFit="1" customWidth="1"/>
    <col min="4103" max="4103" width="6.5703125" bestFit="1" customWidth="1"/>
    <col min="4104" max="4105" width="7.28515625" bestFit="1" customWidth="1"/>
    <col min="4106" max="4108" width="0" hidden="1" customWidth="1"/>
    <col min="4109" max="4109" width="6.42578125" bestFit="1" customWidth="1"/>
    <col min="4110" max="4112" width="11.5703125" bestFit="1" customWidth="1"/>
    <col min="4353" max="4355" width="11.5703125" bestFit="1" customWidth="1"/>
    <col min="4356" max="4356" width="6.5703125" bestFit="1" customWidth="1"/>
    <col min="4357" max="4357" width="8.28515625" bestFit="1" customWidth="1"/>
    <col min="4358" max="4358" width="7.28515625" bestFit="1" customWidth="1"/>
    <col min="4359" max="4359" width="6.5703125" bestFit="1" customWidth="1"/>
    <col min="4360" max="4361" width="7.28515625" bestFit="1" customWidth="1"/>
    <col min="4362" max="4364" width="0" hidden="1" customWidth="1"/>
    <col min="4365" max="4365" width="6.42578125" bestFit="1" customWidth="1"/>
    <col min="4366" max="4368" width="11.5703125" bestFit="1" customWidth="1"/>
    <col min="4609" max="4611" width="11.5703125" bestFit="1" customWidth="1"/>
    <col min="4612" max="4612" width="6.5703125" bestFit="1" customWidth="1"/>
    <col min="4613" max="4613" width="8.28515625" bestFit="1" customWidth="1"/>
    <col min="4614" max="4614" width="7.28515625" bestFit="1" customWidth="1"/>
    <col min="4615" max="4615" width="6.5703125" bestFit="1" customWidth="1"/>
    <col min="4616" max="4617" width="7.28515625" bestFit="1" customWidth="1"/>
    <col min="4618" max="4620" width="0" hidden="1" customWidth="1"/>
    <col min="4621" max="4621" width="6.42578125" bestFit="1" customWidth="1"/>
    <col min="4622" max="4624" width="11.5703125" bestFit="1" customWidth="1"/>
    <col min="4865" max="4867" width="11.5703125" bestFit="1" customWidth="1"/>
    <col min="4868" max="4868" width="6.5703125" bestFit="1" customWidth="1"/>
    <col min="4869" max="4869" width="8.28515625" bestFit="1" customWidth="1"/>
    <col min="4870" max="4870" width="7.28515625" bestFit="1" customWidth="1"/>
    <col min="4871" max="4871" width="6.5703125" bestFit="1" customWidth="1"/>
    <col min="4872" max="4873" width="7.28515625" bestFit="1" customWidth="1"/>
    <col min="4874" max="4876" width="0" hidden="1" customWidth="1"/>
    <col min="4877" max="4877" width="6.42578125" bestFit="1" customWidth="1"/>
    <col min="4878" max="4880" width="11.5703125" bestFit="1" customWidth="1"/>
    <col min="5121" max="5123" width="11.5703125" bestFit="1" customWidth="1"/>
    <col min="5124" max="5124" width="6.5703125" bestFit="1" customWidth="1"/>
    <col min="5125" max="5125" width="8.28515625" bestFit="1" customWidth="1"/>
    <col min="5126" max="5126" width="7.28515625" bestFit="1" customWidth="1"/>
    <col min="5127" max="5127" width="6.5703125" bestFit="1" customWidth="1"/>
    <col min="5128" max="5129" width="7.28515625" bestFit="1" customWidth="1"/>
    <col min="5130" max="5132" width="0" hidden="1" customWidth="1"/>
    <col min="5133" max="5133" width="6.42578125" bestFit="1" customWidth="1"/>
    <col min="5134" max="5136" width="11.5703125" bestFit="1" customWidth="1"/>
    <col min="5377" max="5379" width="11.5703125" bestFit="1" customWidth="1"/>
    <col min="5380" max="5380" width="6.5703125" bestFit="1" customWidth="1"/>
    <col min="5381" max="5381" width="8.28515625" bestFit="1" customWidth="1"/>
    <col min="5382" max="5382" width="7.28515625" bestFit="1" customWidth="1"/>
    <col min="5383" max="5383" width="6.5703125" bestFit="1" customWidth="1"/>
    <col min="5384" max="5385" width="7.28515625" bestFit="1" customWidth="1"/>
    <col min="5386" max="5388" width="0" hidden="1" customWidth="1"/>
    <col min="5389" max="5389" width="6.42578125" bestFit="1" customWidth="1"/>
    <col min="5390" max="5392" width="11.5703125" bestFit="1" customWidth="1"/>
    <col min="5633" max="5635" width="11.5703125" bestFit="1" customWidth="1"/>
    <col min="5636" max="5636" width="6.5703125" bestFit="1" customWidth="1"/>
    <col min="5637" max="5637" width="8.28515625" bestFit="1" customWidth="1"/>
    <col min="5638" max="5638" width="7.28515625" bestFit="1" customWidth="1"/>
    <col min="5639" max="5639" width="6.5703125" bestFit="1" customWidth="1"/>
    <col min="5640" max="5641" width="7.28515625" bestFit="1" customWidth="1"/>
    <col min="5642" max="5644" width="0" hidden="1" customWidth="1"/>
    <col min="5645" max="5645" width="6.42578125" bestFit="1" customWidth="1"/>
    <col min="5646" max="5648" width="11.5703125" bestFit="1" customWidth="1"/>
    <col min="5889" max="5891" width="11.5703125" bestFit="1" customWidth="1"/>
    <col min="5892" max="5892" width="6.5703125" bestFit="1" customWidth="1"/>
    <col min="5893" max="5893" width="8.28515625" bestFit="1" customWidth="1"/>
    <col min="5894" max="5894" width="7.28515625" bestFit="1" customWidth="1"/>
    <col min="5895" max="5895" width="6.5703125" bestFit="1" customWidth="1"/>
    <col min="5896" max="5897" width="7.28515625" bestFit="1" customWidth="1"/>
    <col min="5898" max="5900" width="0" hidden="1" customWidth="1"/>
    <col min="5901" max="5901" width="6.42578125" bestFit="1" customWidth="1"/>
    <col min="5902" max="5904" width="11.5703125" bestFit="1" customWidth="1"/>
    <col min="6145" max="6147" width="11.5703125" bestFit="1" customWidth="1"/>
    <col min="6148" max="6148" width="6.5703125" bestFit="1" customWidth="1"/>
    <col min="6149" max="6149" width="8.28515625" bestFit="1" customWidth="1"/>
    <col min="6150" max="6150" width="7.28515625" bestFit="1" customWidth="1"/>
    <col min="6151" max="6151" width="6.5703125" bestFit="1" customWidth="1"/>
    <col min="6152" max="6153" width="7.28515625" bestFit="1" customWidth="1"/>
    <col min="6154" max="6156" width="0" hidden="1" customWidth="1"/>
    <col min="6157" max="6157" width="6.42578125" bestFit="1" customWidth="1"/>
    <col min="6158" max="6160" width="11.5703125" bestFit="1" customWidth="1"/>
    <col min="6401" max="6403" width="11.5703125" bestFit="1" customWidth="1"/>
    <col min="6404" max="6404" width="6.5703125" bestFit="1" customWidth="1"/>
    <col min="6405" max="6405" width="8.28515625" bestFit="1" customWidth="1"/>
    <col min="6406" max="6406" width="7.28515625" bestFit="1" customWidth="1"/>
    <col min="6407" max="6407" width="6.5703125" bestFit="1" customWidth="1"/>
    <col min="6408" max="6409" width="7.28515625" bestFit="1" customWidth="1"/>
    <col min="6410" max="6412" width="0" hidden="1" customWidth="1"/>
    <col min="6413" max="6413" width="6.42578125" bestFit="1" customWidth="1"/>
    <col min="6414" max="6416" width="11.5703125" bestFit="1" customWidth="1"/>
    <col min="6657" max="6659" width="11.5703125" bestFit="1" customWidth="1"/>
    <col min="6660" max="6660" width="6.5703125" bestFit="1" customWidth="1"/>
    <col min="6661" max="6661" width="8.28515625" bestFit="1" customWidth="1"/>
    <col min="6662" max="6662" width="7.28515625" bestFit="1" customWidth="1"/>
    <col min="6663" max="6663" width="6.5703125" bestFit="1" customWidth="1"/>
    <col min="6664" max="6665" width="7.28515625" bestFit="1" customWidth="1"/>
    <col min="6666" max="6668" width="0" hidden="1" customWidth="1"/>
    <col min="6669" max="6669" width="6.42578125" bestFit="1" customWidth="1"/>
    <col min="6670" max="6672" width="11.5703125" bestFit="1" customWidth="1"/>
    <col min="6913" max="6915" width="11.5703125" bestFit="1" customWidth="1"/>
    <col min="6916" max="6916" width="6.5703125" bestFit="1" customWidth="1"/>
    <col min="6917" max="6917" width="8.28515625" bestFit="1" customWidth="1"/>
    <col min="6918" max="6918" width="7.28515625" bestFit="1" customWidth="1"/>
    <col min="6919" max="6919" width="6.5703125" bestFit="1" customWidth="1"/>
    <col min="6920" max="6921" width="7.28515625" bestFit="1" customWidth="1"/>
    <col min="6922" max="6924" width="0" hidden="1" customWidth="1"/>
    <col min="6925" max="6925" width="6.42578125" bestFit="1" customWidth="1"/>
    <col min="6926" max="6928" width="11.5703125" bestFit="1" customWidth="1"/>
    <col min="7169" max="7171" width="11.5703125" bestFit="1" customWidth="1"/>
    <col min="7172" max="7172" width="6.5703125" bestFit="1" customWidth="1"/>
    <col min="7173" max="7173" width="8.28515625" bestFit="1" customWidth="1"/>
    <col min="7174" max="7174" width="7.28515625" bestFit="1" customWidth="1"/>
    <col min="7175" max="7175" width="6.5703125" bestFit="1" customWidth="1"/>
    <col min="7176" max="7177" width="7.28515625" bestFit="1" customWidth="1"/>
    <col min="7178" max="7180" width="0" hidden="1" customWidth="1"/>
    <col min="7181" max="7181" width="6.42578125" bestFit="1" customWidth="1"/>
    <col min="7182" max="7184" width="11.5703125" bestFit="1" customWidth="1"/>
    <col min="7425" max="7427" width="11.5703125" bestFit="1" customWidth="1"/>
    <col min="7428" max="7428" width="6.5703125" bestFit="1" customWidth="1"/>
    <col min="7429" max="7429" width="8.28515625" bestFit="1" customWidth="1"/>
    <col min="7430" max="7430" width="7.28515625" bestFit="1" customWidth="1"/>
    <col min="7431" max="7431" width="6.5703125" bestFit="1" customWidth="1"/>
    <col min="7432" max="7433" width="7.28515625" bestFit="1" customWidth="1"/>
    <col min="7434" max="7436" width="0" hidden="1" customWidth="1"/>
    <col min="7437" max="7437" width="6.42578125" bestFit="1" customWidth="1"/>
    <col min="7438" max="7440" width="11.5703125" bestFit="1" customWidth="1"/>
    <col min="7681" max="7683" width="11.5703125" bestFit="1" customWidth="1"/>
    <col min="7684" max="7684" width="6.5703125" bestFit="1" customWidth="1"/>
    <col min="7685" max="7685" width="8.28515625" bestFit="1" customWidth="1"/>
    <col min="7686" max="7686" width="7.28515625" bestFit="1" customWidth="1"/>
    <col min="7687" max="7687" width="6.5703125" bestFit="1" customWidth="1"/>
    <col min="7688" max="7689" width="7.28515625" bestFit="1" customWidth="1"/>
    <col min="7690" max="7692" width="0" hidden="1" customWidth="1"/>
    <col min="7693" max="7693" width="6.42578125" bestFit="1" customWidth="1"/>
    <col min="7694" max="7696" width="11.5703125" bestFit="1" customWidth="1"/>
    <col min="7937" max="7939" width="11.5703125" bestFit="1" customWidth="1"/>
    <col min="7940" max="7940" width="6.5703125" bestFit="1" customWidth="1"/>
    <col min="7941" max="7941" width="8.28515625" bestFit="1" customWidth="1"/>
    <col min="7942" max="7942" width="7.28515625" bestFit="1" customWidth="1"/>
    <col min="7943" max="7943" width="6.5703125" bestFit="1" customWidth="1"/>
    <col min="7944" max="7945" width="7.28515625" bestFit="1" customWidth="1"/>
    <col min="7946" max="7948" width="0" hidden="1" customWidth="1"/>
    <col min="7949" max="7949" width="6.42578125" bestFit="1" customWidth="1"/>
    <col min="7950" max="7952" width="11.5703125" bestFit="1" customWidth="1"/>
    <col min="8193" max="8195" width="11.5703125" bestFit="1" customWidth="1"/>
    <col min="8196" max="8196" width="6.5703125" bestFit="1" customWidth="1"/>
    <col min="8197" max="8197" width="8.28515625" bestFit="1" customWidth="1"/>
    <col min="8198" max="8198" width="7.28515625" bestFit="1" customWidth="1"/>
    <col min="8199" max="8199" width="6.5703125" bestFit="1" customWidth="1"/>
    <col min="8200" max="8201" width="7.28515625" bestFit="1" customWidth="1"/>
    <col min="8202" max="8204" width="0" hidden="1" customWidth="1"/>
    <col min="8205" max="8205" width="6.42578125" bestFit="1" customWidth="1"/>
    <col min="8206" max="8208" width="11.5703125" bestFit="1" customWidth="1"/>
    <col min="8449" max="8451" width="11.5703125" bestFit="1" customWidth="1"/>
    <col min="8452" max="8452" width="6.5703125" bestFit="1" customWidth="1"/>
    <col min="8453" max="8453" width="8.28515625" bestFit="1" customWidth="1"/>
    <col min="8454" max="8454" width="7.28515625" bestFit="1" customWidth="1"/>
    <col min="8455" max="8455" width="6.5703125" bestFit="1" customWidth="1"/>
    <col min="8456" max="8457" width="7.28515625" bestFit="1" customWidth="1"/>
    <col min="8458" max="8460" width="0" hidden="1" customWidth="1"/>
    <col min="8461" max="8461" width="6.42578125" bestFit="1" customWidth="1"/>
    <col min="8462" max="8464" width="11.5703125" bestFit="1" customWidth="1"/>
    <col min="8705" max="8707" width="11.5703125" bestFit="1" customWidth="1"/>
    <col min="8708" max="8708" width="6.5703125" bestFit="1" customWidth="1"/>
    <col min="8709" max="8709" width="8.28515625" bestFit="1" customWidth="1"/>
    <col min="8710" max="8710" width="7.28515625" bestFit="1" customWidth="1"/>
    <col min="8711" max="8711" width="6.5703125" bestFit="1" customWidth="1"/>
    <col min="8712" max="8713" width="7.28515625" bestFit="1" customWidth="1"/>
    <col min="8714" max="8716" width="0" hidden="1" customWidth="1"/>
    <col min="8717" max="8717" width="6.42578125" bestFit="1" customWidth="1"/>
    <col min="8718" max="8720" width="11.5703125" bestFit="1" customWidth="1"/>
    <col min="8961" max="8963" width="11.5703125" bestFit="1" customWidth="1"/>
    <col min="8964" max="8964" width="6.5703125" bestFit="1" customWidth="1"/>
    <col min="8965" max="8965" width="8.28515625" bestFit="1" customWidth="1"/>
    <col min="8966" max="8966" width="7.28515625" bestFit="1" customWidth="1"/>
    <col min="8967" max="8967" width="6.5703125" bestFit="1" customWidth="1"/>
    <col min="8968" max="8969" width="7.28515625" bestFit="1" customWidth="1"/>
    <col min="8970" max="8972" width="0" hidden="1" customWidth="1"/>
    <col min="8973" max="8973" width="6.42578125" bestFit="1" customWidth="1"/>
    <col min="8974" max="8976" width="11.5703125" bestFit="1" customWidth="1"/>
    <col min="9217" max="9219" width="11.5703125" bestFit="1" customWidth="1"/>
    <col min="9220" max="9220" width="6.5703125" bestFit="1" customWidth="1"/>
    <col min="9221" max="9221" width="8.28515625" bestFit="1" customWidth="1"/>
    <col min="9222" max="9222" width="7.28515625" bestFit="1" customWidth="1"/>
    <col min="9223" max="9223" width="6.5703125" bestFit="1" customWidth="1"/>
    <col min="9224" max="9225" width="7.28515625" bestFit="1" customWidth="1"/>
    <col min="9226" max="9228" width="0" hidden="1" customWidth="1"/>
    <col min="9229" max="9229" width="6.42578125" bestFit="1" customWidth="1"/>
    <col min="9230" max="9232" width="11.5703125" bestFit="1" customWidth="1"/>
    <col min="9473" max="9475" width="11.5703125" bestFit="1" customWidth="1"/>
    <col min="9476" max="9476" width="6.5703125" bestFit="1" customWidth="1"/>
    <col min="9477" max="9477" width="8.28515625" bestFit="1" customWidth="1"/>
    <col min="9478" max="9478" width="7.28515625" bestFit="1" customWidth="1"/>
    <col min="9479" max="9479" width="6.5703125" bestFit="1" customWidth="1"/>
    <col min="9480" max="9481" width="7.28515625" bestFit="1" customWidth="1"/>
    <col min="9482" max="9484" width="0" hidden="1" customWidth="1"/>
    <col min="9485" max="9485" width="6.42578125" bestFit="1" customWidth="1"/>
    <col min="9486" max="9488" width="11.5703125" bestFit="1" customWidth="1"/>
    <col min="9729" max="9731" width="11.5703125" bestFit="1" customWidth="1"/>
    <col min="9732" max="9732" width="6.5703125" bestFit="1" customWidth="1"/>
    <col min="9733" max="9733" width="8.28515625" bestFit="1" customWidth="1"/>
    <col min="9734" max="9734" width="7.28515625" bestFit="1" customWidth="1"/>
    <col min="9735" max="9735" width="6.5703125" bestFit="1" customWidth="1"/>
    <col min="9736" max="9737" width="7.28515625" bestFit="1" customWidth="1"/>
    <col min="9738" max="9740" width="0" hidden="1" customWidth="1"/>
    <col min="9741" max="9741" width="6.42578125" bestFit="1" customWidth="1"/>
    <col min="9742" max="9744" width="11.5703125" bestFit="1" customWidth="1"/>
    <col min="9985" max="9987" width="11.5703125" bestFit="1" customWidth="1"/>
    <col min="9988" max="9988" width="6.5703125" bestFit="1" customWidth="1"/>
    <col min="9989" max="9989" width="8.28515625" bestFit="1" customWidth="1"/>
    <col min="9990" max="9990" width="7.28515625" bestFit="1" customWidth="1"/>
    <col min="9991" max="9991" width="6.5703125" bestFit="1" customWidth="1"/>
    <col min="9992" max="9993" width="7.28515625" bestFit="1" customWidth="1"/>
    <col min="9994" max="9996" width="0" hidden="1" customWidth="1"/>
    <col min="9997" max="9997" width="6.42578125" bestFit="1" customWidth="1"/>
    <col min="9998" max="10000" width="11.5703125" bestFit="1" customWidth="1"/>
    <col min="10241" max="10243" width="11.5703125" bestFit="1" customWidth="1"/>
    <col min="10244" max="10244" width="6.5703125" bestFit="1" customWidth="1"/>
    <col min="10245" max="10245" width="8.28515625" bestFit="1" customWidth="1"/>
    <col min="10246" max="10246" width="7.28515625" bestFit="1" customWidth="1"/>
    <col min="10247" max="10247" width="6.5703125" bestFit="1" customWidth="1"/>
    <col min="10248" max="10249" width="7.28515625" bestFit="1" customWidth="1"/>
    <col min="10250" max="10252" width="0" hidden="1" customWidth="1"/>
    <col min="10253" max="10253" width="6.42578125" bestFit="1" customWidth="1"/>
    <col min="10254" max="10256" width="11.5703125" bestFit="1" customWidth="1"/>
    <col min="10497" max="10499" width="11.5703125" bestFit="1" customWidth="1"/>
    <col min="10500" max="10500" width="6.5703125" bestFit="1" customWidth="1"/>
    <col min="10501" max="10501" width="8.28515625" bestFit="1" customWidth="1"/>
    <col min="10502" max="10502" width="7.28515625" bestFit="1" customWidth="1"/>
    <col min="10503" max="10503" width="6.5703125" bestFit="1" customWidth="1"/>
    <col min="10504" max="10505" width="7.28515625" bestFit="1" customWidth="1"/>
    <col min="10506" max="10508" width="0" hidden="1" customWidth="1"/>
    <col min="10509" max="10509" width="6.42578125" bestFit="1" customWidth="1"/>
    <col min="10510" max="10512" width="11.5703125" bestFit="1" customWidth="1"/>
    <col min="10753" max="10755" width="11.5703125" bestFit="1" customWidth="1"/>
    <col min="10756" max="10756" width="6.5703125" bestFit="1" customWidth="1"/>
    <col min="10757" max="10757" width="8.28515625" bestFit="1" customWidth="1"/>
    <col min="10758" max="10758" width="7.28515625" bestFit="1" customWidth="1"/>
    <col min="10759" max="10759" width="6.5703125" bestFit="1" customWidth="1"/>
    <col min="10760" max="10761" width="7.28515625" bestFit="1" customWidth="1"/>
    <col min="10762" max="10764" width="0" hidden="1" customWidth="1"/>
    <col min="10765" max="10765" width="6.42578125" bestFit="1" customWidth="1"/>
    <col min="10766" max="10768" width="11.5703125" bestFit="1" customWidth="1"/>
    <col min="11009" max="11011" width="11.5703125" bestFit="1" customWidth="1"/>
    <col min="11012" max="11012" width="6.5703125" bestFit="1" customWidth="1"/>
    <col min="11013" max="11013" width="8.28515625" bestFit="1" customWidth="1"/>
    <col min="11014" max="11014" width="7.28515625" bestFit="1" customWidth="1"/>
    <col min="11015" max="11015" width="6.5703125" bestFit="1" customWidth="1"/>
    <col min="11016" max="11017" width="7.28515625" bestFit="1" customWidth="1"/>
    <col min="11018" max="11020" width="0" hidden="1" customWidth="1"/>
    <col min="11021" max="11021" width="6.42578125" bestFit="1" customWidth="1"/>
    <col min="11022" max="11024" width="11.5703125" bestFit="1" customWidth="1"/>
    <col min="11265" max="11267" width="11.5703125" bestFit="1" customWidth="1"/>
    <col min="11268" max="11268" width="6.5703125" bestFit="1" customWidth="1"/>
    <col min="11269" max="11269" width="8.28515625" bestFit="1" customWidth="1"/>
    <col min="11270" max="11270" width="7.28515625" bestFit="1" customWidth="1"/>
    <col min="11271" max="11271" width="6.5703125" bestFit="1" customWidth="1"/>
    <col min="11272" max="11273" width="7.28515625" bestFit="1" customWidth="1"/>
    <col min="11274" max="11276" width="0" hidden="1" customWidth="1"/>
    <col min="11277" max="11277" width="6.42578125" bestFit="1" customWidth="1"/>
    <col min="11278" max="11280" width="11.5703125" bestFit="1" customWidth="1"/>
    <col min="11521" max="11523" width="11.5703125" bestFit="1" customWidth="1"/>
    <col min="11524" max="11524" width="6.5703125" bestFit="1" customWidth="1"/>
    <col min="11525" max="11525" width="8.28515625" bestFit="1" customWidth="1"/>
    <col min="11526" max="11526" width="7.28515625" bestFit="1" customWidth="1"/>
    <col min="11527" max="11527" width="6.5703125" bestFit="1" customWidth="1"/>
    <col min="11528" max="11529" width="7.28515625" bestFit="1" customWidth="1"/>
    <col min="11530" max="11532" width="0" hidden="1" customWidth="1"/>
    <col min="11533" max="11533" width="6.42578125" bestFit="1" customWidth="1"/>
    <col min="11534" max="11536" width="11.5703125" bestFit="1" customWidth="1"/>
    <col min="11777" max="11779" width="11.5703125" bestFit="1" customWidth="1"/>
    <col min="11780" max="11780" width="6.5703125" bestFit="1" customWidth="1"/>
    <col min="11781" max="11781" width="8.28515625" bestFit="1" customWidth="1"/>
    <col min="11782" max="11782" width="7.28515625" bestFit="1" customWidth="1"/>
    <col min="11783" max="11783" width="6.5703125" bestFit="1" customWidth="1"/>
    <col min="11784" max="11785" width="7.28515625" bestFit="1" customWidth="1"/>
    <col min="11786" max="11788" width="0" hidden="1" customWidth="1"/>
    <col min="11789" max="11789" width="6.42578125" bestFit="1" customWidth="1"/>
    <col min="11790" max="11792" width="11.5703125" bestFit="1" customWidth="1"/>
    <col min="12033" max="12035" width="11.5703125" bestFit="1" customWidth="1"/>
    <col min="12036" max="12036" width="6.5703125" bestFit="1" customWidth="1"/>
    <col min="12037" max="12037" width="8.28515625" bestFit="1" customWidth="1"/>
    <col min="12038" max="12038" width="7.28515625" bestFit="1" customWidth="1"/>
    <col min="12039" max="12039" width="6.5703125" bestFit="1" customWidth="1"/>
    <col min="12040" max="12041" width="7.28515625" bestFit="1" customWidth="1"/>
    <col min="12042" max="12044" width="0" hidden="1" customWidth="1"/>
    <col min="12045" max="12045" width="6.42578125" bestFit="1" customWidth="1"/>
    <col min="12046" max="12048" width="11.5703125" bestFit="1" customWidth="1"/>
    <col min="12289" max="12291" width="11.5703125" bestFit="1" customWidth="1"/>
    <col min="12292" max="12292" width="6.5703125" bestFit="1" customWidth="1"/>
    <col min="12293" max="12293" width="8.28515625" bestFit="1" customWidth="1"/>
    <col min="12294" max="12294" width="7.28515625" bestFit="1" customWidth="1"/>
    <col min="12295" max="12295" width="6.5703125" bestFit="1" customWidth="1"/>
    <col min="12296" max="12297" width="7.28515625" bestFit="1" customWidth="1"/>
    <col min="12298" max="12300" width="0" hidden="1" customWidth="1"/>
    <col min="12301" max="12301" width="6.42578125" bestFit="1" customWidth="1"/>
    <col min="12302" max="12304" width="11.5703125" bestFit="1" customWidth="1"/>
    <col min="12545" max="12547" width="11.5703125" bestFit="1" customWidth="1"/>
    <col min="12548" max="12548" width="6.5703125" bestFit="1" customWidth="1"/>
    <col min="12549" max="12549" width="8.28515625" bestFit="1" customWidth="1"/>
    <col min="12550" max="12550" width="7.28515625" bestFit="1" customWidth="1"/>
    <col min="12551" max="12551" width="6.5703125" bestFit="1" customWidth="1"/>
    <col min="12552" max="12553" width="7.28515625" bestFit="1" customWidth="1"/>
    <col min="12554" max="12556" width="0" hidden="1" customWidth="1"/>
    <col min="12557" max="12557" width="6.42578125" bestFit="1" customWidth="1"/>
    <col min="12558" max="12560" width="11.5703125" bestFit="1" customWidth="1"/>
    <col min="12801" max="12803" width="11.5703125" bestFit="1" customWidth="1"/>
    <col min="12804" max="12804" width="6.5703125" bestFit="1" customWidth="1"/>
    <col min="12805" max="12805" width="8.28515625" bestFit="1" customWidth="1"/>
    <col min="12806" max="12806" width="7.28515625" bestFit="1" customWidth="1"/>
    <col min="12807" max="12807" width="6.5703125" bestFit="1" customWidth="1"/>
    <col min="12808" max="12809" width="7.28515625" bestFit="1" customWidth="1"/>
    <col min="12810" max="12812" width="0" hidden="1" customWidth="1"/>
    <col min="12813" max="12813" width="6.42578125" bestFit="1" customWidth="1"/>
    <col min="12814" max="12816" width="11.5703125" bestFit="1" customWidth="1"/>
    <col min="13057" max="13059" width="11.5703125" bestFit="1" customWidth="1"/>
    <col min="13060" max="13060" width="6.5703125" bestFit="1" customWidth="1"/>
    <col min="13061" max="13061" width="8.28515625" bestFit="1" customWidth="1"/>
    <col min="13062" max="13062" width="7.28515625" bestFit="1" customWidth="1"/>
    <col min="13063" max="13063" width="6.5703125" bestFit="1" customWidth="1"/>
    <col min="13064" max="13065" width="7.28515625" bestFit="1" customWidth="1"/>
    <col min="13066" max="13068" width="0" hidden="1" customWidth="1"/>
    <col min="13069" max="13069" width="6.42578125" bestFit="1" customWidth="1"/>
    <col min="13070" max="13072" width="11.5703125" bestFit="1" customWidth="1"/>
    <col min="13313" max="13315" width="11.5703125" bestFit="1" customWidth="1"/>
    <col min="13316" max="13316" width="6.5703125" bestFit="1" customWidth="1"/>
    <col min="13317" max="13317" width="8.28515625" bestFit="1" customWidth="1"/>
    <col min="13318" max="13318" width="7.28515625" bestFit="1" customWidth="1"/>
    <col min="13319" max="13319" width="6.5703125" bestFit="1" customWidth="1"/>
    <col min="13320" max="13321" width="7.28515625" bestFit="1" customWidth="1"/>
    <col min="13322" max="13324" width="0" hidden="1" customWidth="1"/>
    <col min="13325" max="13325" width="6.42578125" bestFit="1" customWidth="1"/>
    <col min="13326" max="13328" width="11.5703125" bestFit="1" customWidth="1"/>
    <col min="13569" max="13571" width="11.5703125" bestFit="1" customWidth="1"/>
    <col min="13572" max="13572" width="6.5703125" bestFit="1" customWidth="1"/>
    <col min="13573" max="13573" width="8.28515625" bestFit="1" customWidth="1"/>
    <col min="13574" max="13574" width="7.28515625" bestFit="1" customWidth="1"/>
    <col min="13575" max="13575" width="6.5703125" bestFit="1" customWidth="1"/>
    <col min="13576" max="13577" width="7.28515625" bestFit="1" customWidth="1"/>
    <col min="13578" max="13580" width="0" hidden="1" customWidth="1"/>
    <col min="13581" max="13581" width="6.42578125" bestFit="1" customWidth="1"/>
    <col min="13582" max="13584" width="11.5703125" bestFit="1" customWidth="1"/>
    <col min="13825" max="13827" width="11.5703125" bestFit="1" customWidth="1"/>
    <col min="13828" max="13828" width="6.5703125" bestFit="1" customWidth="1"/>
    <col min="13829" max="13829" width="8.28515625" bestFit="1" customWidth="1"/>
    <col min="13830" max="13830" width="7.28515625" bestFit="1" customWidth="1"/>
    <col min="13831" max="13831" width="6.5703125" bestFit="1" customWidth="1"/>
    <col min="13832" max="13833" width="7.28515625" bestFit="1" customWidth="1"/>
    <col min="13834" max="13836" width="0" hidden="1" customWidth="1"/>
    <col min="13837" max="13837" width="6.42578125" bestFit="1" customWidth="1"/>
    <col min="13838" max="13840" width="11.5703125" bestFit="1" customWidth="1"/>
    <col min="14081" max="14083" width="11.5703125" bestFit="1" customWidth="1"/>
    <col min="14084" max="14084" width="6.5703125" bestFit="1" customWidth="1"/>
    <col min="14085" max="14085" width="8.28515625" bestFit="1" customWidth="1"/>
    <col min="14086" max="14086" width="7.28515625" bestFit="1" customWidth="1"/>
    <col min="14087" max="14087" width="6.5703125" bestFit="1" customWidth="1"/>
    <col min="14088" max="14089" width="7.28515625" bestFit="1" customWidth="1"/>
    <col min="14090" max="14092" width="0" hidden="1" customWidth="1"/>
    <col min="14093" max="14093" width="6.42578125" bestFit="1" customWidth="1"/>
    <col min="14094" max="14096" width="11.5703125" bestFit="1" customWidth="1"/>
    <col min="14337" max="14339" width="11.5703125" bestFit="1" customWidth="1"/>
    <col min="14340" max="14340" width="6.5703125" bestFit="1" customWidth="1"/>
    <col min="14341" max="14341" width="8.28515625" bestFit="1" customWidth="1"/>
    <col min="14342" max="14342" width="7.28515625" bestFit="1" customWidth="1"/>
    <col min="14343" max="14343" width="6.5703125" bestFit="1" customWidth="1"/>
    <col min="14344" max="14345" width="7.28515625" bestFit="1" customWidth="1"/>
    <col min="14346" max="14348" width="0" hidden="1" customWidth="1"/>
    <col min="14349" max="14349" width="6.42578125" bestFit="1" customWidth="1"/>
    <col min="14350" max="14352" width="11.5703125" bestFit="1" customWidth="1"/>
    <col min="14593" max="14595" width="11.5703125" bestFit="1" customWidth="1"/>
    <col min="14596" max="14596" width="6.5703125" bestFit="1" customWidth="1"/>
    <col min="14597" max="14597" width="8.28515625" bestFit="1" customWidth="1"/>
    <col min="14598" max="14598" width="7.28515625" bestFit="1" customWidth="1"/>
    <col min="14599" max="14599" width="6.5703125" bestFit="1" customWidth="1"/>
    <col min="14600" max="14601" width="7.28515625" bestFit="1" customWidth="1"/>
    <col min="14602" max="14604" width="0" hidden="1" customWidth="1"/>
    <col min="14605" max="14605" width="6.42578125" bestFit="1" customWidth="1"/>
    <col min="14606" max="14608" width="11.5703125" bestFit="1" customWidth="1"/>
    <col min="14849" max="14851" width="11.5703125" bestFit="1" customWidth="1"/>
    <col min="14852" max="14852" width="6.5703125" bestFit="1" customWidth="1"/>
    <col min="14853" max="14853" width="8.28515625" bestFit="1" customWidth="1"/>
    <col min="14854" max="14854" width="7.28515625" bestFit="1" customWidth="1"/>
    <col min="14855" max="14855" width="6.5703125" bestFit="1" customWidth="1"/>
    <col min="14856" max="14857" width="7.28515625" bestFit="1" customWidth="1"/>
    <col min="14858" max="14860" width="0" hidden="1" customWidth="1"/>
    <col min="14861" max="14861" width="6.42578125" bestFit="1" customWidth="1"/>
    <col min="14862" max="14864" width="11.5703125" bestFit="1" customWidth="1"/>
    <col min="15105" max="15107" width="11.5703125" bestFit="1" customWidth="1"/>
    <col min="15108" max="15108" width="6.5703125" bestFit="1" customWidth="1"/>
    <col min="15109" max="15109" width="8.28515625" bestFit="1" customWidth="1"/>
    <col min="15110" max="15110" width="7.28515625" bestFit="1" customWidth="1"/>
    <col min="15111" max="15111" width="6.5703125" bestFit="1" customWidth="1"/>
    <col min="15112" max="15113" width="7.28515625" bestFit="1" customWidth="1"/>
    <col min="15114" max="15116" width="0" hidden="1" customWidth="1"/>
    <col min="15117" max="15117" width="6.42578125" bestFit="1" customWidth="1"/>
    <col min="15118" max="15120" width="11.5703125" bestFit="1" customWidth="1"/>
    <col min="15361" max="15363" width="11.5703125" bestFit="1" customWidth="1"/>
    <col min="15364" max="15364" width="6.5703125" bestFit="1" customWidth="1"/>
    <col min="15365" max="15365" width="8.28515625" bestFit="1" customWidth="1"/>
    <col min="15366" max="15366" width="7.28515625" bestFit="1" customWidth="1"/>
    <col min="15367" max="15367" width="6.5703125" bestFit="1" customWidth="1"/>
    <col min="15368" max="15369" width="7.28515625" bestFit="1" customWidth="1"/>
    <col min="15370" max="15372" width="0" hidden="1" customWidth="1"/>
    <col min="15373" max="15373" width="6.42578125" bestFit="1" customWidth="1"/>
    <col min="15374" max="15376" width="11.5703125" bestFit="1" customWidth="1"/>
    <col min="15617" max="15619" width="11.5703125" bestFit="1" customWidth="1"/>
    <col min="15620" max="15620" width="6.5703125" bestFit="1" customWidth="1"/>
    <col min="15621" max="15621" width="8.28515625" bestFit="1" customWidth="1"/>
    <col min="15622" max="15622" width="7.28515625" bestFit="1" customWidth="1"/>
    <col min="15623" max="15623" width="6.5703125" bestFit="1" customWidth="1"/>
    <col min="15624" max="15625" width="7.28515625" bestFit="1" customWidth="1"/>
    <col min="15626" max="15628" width="0" hidden="1" customWidth="1"/>
    <col min="15629" max="15629" width="6.42578125" bestFit="1" customWidth="1"/>
    <col min="15630" max="15632" width="11.5703125" bestFit="1" customWidth="1"/>
    <col min="15873" max="15875" width="11.5703125" bestFit="1" customWidth="1"/>
    <col min="15876" max="15876" width="6.5703125" bestFit="1" customWidth="1"/>
    <col min="15877" max="15877" width="8.28515625" bestFit="1" customWidth="1"/>
    <col min="15878" max="15878" width="7.28515625" bestFit="1" customWidth="1"/>
    <col min="15879" max="15879" width="6.5703125" bestFit="1" customWidth="1"/>
    <col min="15880" max="15881" width="7.28515625" bestFit="1" customWidth="1"/>
    <col min="15882" max="15884" width="0" hidden="1" customWidth="1"/>
    <col min="15885" max="15885" width="6.42578125" bestFit="1" customWidth="1"/>
    <col min="15886" max="15888" width="11.5703125" bestFit="1" customWidth="1"/>
    <col min="16129" max="16131" width="11.5703125" bestFit="1" customWidth="1"/>
    <col min="16132" max="16132" width="6.5703125" bestFit="1" customWidth="1"/>
    <col min="16133" max="16133" width="8.28515625" bestFit="1" customWidth="1"/>
    <col min="16134" max="16134" width="7.28515625" bestFit="1" customWidth="1"/>
    <col min="16135" max="16135" width="6.5703125" bestFit="1" customWidth="1"/>
    <col min="16136" max="16137" width="7.28515625" bestFit="1" customWidth="1"/>
    <col min="16138" max="16140" width="0" hidden="1" customWidth="1"/>
    <col min="16141" max="16141" width="6.42578125" bestFit="1" customWidth="1"/>
    <col min="16142" max="16144" width="11.5703125" bestFit="1" customWidth="1"/>
  </cols>
  <sheetData>
    <row r="1" spans="1:16" ht="31.5" customHeight="1" x14ac:dyDescent="0.25">
      <c r="A1" s="112" t="s">
        <v>119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7.25" x14ac:dyDescent="0.25">
      <c r="A2" s="102" t="s">
        <v>62</v>
      </c>
      <c r="B2" s="102" t="s">
        <v>63</v>
      </c>
      <c r="C2" s="102" t="s">
        <v>64</v>
      </c>
      <c r="D2" s="102" t="s">
        <v>65</v>
      </c>
      <c r="E2" s="102" t="s">
        <v>66</v>
      </c>
      <c r="F2" s="102" t="s">
        <v>67</v>
      </c>
      <c r="G2" s="102" t="s">
        <v>13</v>
      </c>
      <c r="H2" s="102" t="s">
        <v>14</v>
      </c>
      <c r="I2" s="102" t="s">
        <v>15</v>
      </c>
      <c r="J2" s="102" t="s">
        <v>68</v>
      </c>
      <c r="K2" s="102" t="s">
        <v>69</v>
      </c>
      <c r="L2" s="102" t="s">
        <v>70</v>
      </c>
      <c r="M2" s="102" t="s">
        <v>120</v>
      </c>
      <c r="N2" s="102" t="s">
        <v>75</v>
      </c>
      <c r="O2" s="102" t="s">
        <v>76</v>
      </c>
      <c r="P2" s="102" t="s">
        <v>77</v>
      </c>
    </row>
    <row r="3" spans="1:16" x14ac:dyDescent="0.25">
      <c r="A3" s="103">
        <v>2890103.1209565382</v>
      </c>
      <c r="B3" s="103">
        <v>2196983.2265322176</v>
      </c>
      <c r="C3" s="103">
        <v>5226891.676270063</v>
      </c>
      <c r="D3" s="103">
        <v>23.92</v>
      </c>
      <c r="E3" s="103">
        <v>-141.27000000000001</v>
      </c>
      <c r="F3" s="103">
        <v>-80.900000000000006</v>
      </c>
      <c r="G3" s="104">
        <v>0</v>
      </c>
      <c r="H3" s="104">
        <v>-0.35</v>
      </c>
      <c r="I3" s="104">
        <v>-0.82</v>
      </c>
      <c r="J3" s="105">
        <f t="shared" ref="J3:L4" si="0">RADIANS(G3/3600)</f>
        <v>0</v>
      </c>
      <c r="K3" s="105">
        <f t="shared" si="0"/>
        <v>-1.6968478838833759E-6</v>
      </c>
      <c r="L3" s="105">
        <f t="shared" si="0"/>
        <v>-3.9754721850981945E-6</v>
      </c>
      <c r="M3" s="26">
        <v>-0.22</v>
      </c>
      <c r="N3" s="106">
        <f>(1*A3+L3*B3-K3*C3)*(1+M3/1000000)+D3</f>
        <v>2890126.5403281939</v>
      </c>
      <c r="O3" s="106">
        <f>(-L3*A3+1*B3+J3*C3)*(1+M3/1000000)+E3</f>
        <v>2196852.9627179494</v>
      </c>
      <c r="P3" s="106">
        <f>(K3*A3-J3*B3+C3)*(1+M3/1000000)+F3</f>
        <v>5226804.7222896079</v>
      </c>
    </row>
    <row r="4" spans="1:16" x14ac:dyDescent="0.25">
      <c r="A4" s="103">
        <v>2889967.1630265405</v>
      </c>
      <c r="B4" s="103">
        <v>2197408.1710368455</v>
      </c>
      <c r="C4" s="103">
        <v>5226788.9098677933</v>
      </c>
      <c r="D4" s="103">
        <v>23.92</v>
      </c>
      <c r="E4" s="103">
        <v>-141.27000000000001</v>
      </c>
      <c r="F4" s="103">
        <v>-80.900000000000006</v>
      </c>
      <c r="G4" s="104">
        <v>0</v>
      </c>
      <c r="H4" s="104">
        <v>-0.35</v>
      </c>
      <c r="I4" s="104">
        <v>-0.82</v>
      </c>
      <c r="J4" s="105">
        <f t="shared" si="0"/>
        <v>0</v>
      </c>
      <c r="K4" s="105">
        <f t="shared" si="0"/>
        <v>-1.6968478838833759E-6</v>
      </c>
      <c r="L4" s="105">
        <f t="shared" si="0"/>
        <v>-3.9754721850981945E-6</v>
      </c>
      <c r="M4" s="26">
        <v>-0.22</v>
      </c>
      <c r="N4" s="106">
        <f>(1*A4+L4*B4-K4*C4)*(1+M4/1000000)+D4</f>
        <v>2889990.5805643727</v>
      </c>
      <c r="O4" s="106">
        <f>(-L4*A4+1*B4+J4*C4)*(1+M4/1000000)+E4</f>
        <v>2197277.906588593</v>
      </c>
      <c r="P4" s="106">
        <f>(K4*A4-J4*B4+C4)*(1+M4/1000000)+F4</f>
        <v>5226701.9561406467</v>
      </c>
    </row>
    <row r="6" spans="1:16" x14ac:dyDescent="0.25">
      <c r="N6" s="107"/>
      <c r="O6" s="107"/>
      <c r="P6" s="107"/>
    </row>
    <row r="7" spans="1:16" x14ac:dyDescent="0.25">
      <c r="N7" s="107"/>
      <c r="O7" s="107"/>
      <c r="P7" s="107"/>
    </row>
  </sheetData>
  <mergeCells count="1">
    <mergeCell ref="A1:P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workbookViewId="0">
      <selection sqref="A1:J1"/>
    </sheetView>
  </sheetViews>
  <sheetFormatPr defaultRowHeight="15" x14ac:dyDescent="0.25"/>
  <cols>
    <col min="1" max="1" width="3" style="7" bestFit="1" customWidth="1"/>
    <col min="2" max="2" width="19.28515625" style="7" bestFit="1" customWidth="1"/>
    <col min="3" max="3" width="11.42578125" style="7" bestFit="1" customWidth="1"/>
    <col min="4" max="4" width="13.5703125" style="7" bestFit="1" customWidth="1"/>
    <col min="5" max="5" width="9.42578125" style="7" bestFit="1" customWidth="1"/>
    <col min="6" max="6" width="3.85546875" style="7" bestFit="1" customWidth="1"/>
    <col min="7" max="7" width="6.42578125" style="7" bestFit="1" customWidth="1"/>
    <col min="8" max="8" width="4.5703125" style="7" bestFit="1" customWidth="1"/>
    <col min="9" max="9" width="8.28515625" style="7" bestFit="1" customWidth="1"/>
    <col min="10" max="10" width="12" style="7" bestFit="1" customWidth="1"/>
    <col min="11" max="11" width="5.42578125" style="2" customWidth="1"/>
    <col min="12" max="12" width="2.85546875" style="7" bestFit="1" customWidth="1"/>
    <col min="13" max="13" width="8" style="7" hidden="1" customWidth="1"/>
    <col min="14" max="14" width="12" style="7" hidden="1" customWidth="1"/>
    <col min="15" max="15" width="11" style="7" hidden="1" customWidth="1"/>
    <col min="16" max="16" width="12" style="7" hidden="1" customWidth="1"/>
    <col min="17" max="18" width="3" style="7" bestFit="1" customWidth="1"/>
    <col min="19" max="19" width="7.42578125" style="7" bestFit="1" customWidth="1"/>
    <col min="20" max="21" width="12" style="7" hidden="1" customWidth="1"/>
    <col min="22" max="23" width="3" style="7" bestFit="1" customWidth="1"/>
    <col min="24" max="24" width="7.42578125" style="7" bestFit="1" customWidth="1"/>
    <col min="25" max="25" width="12" style="7" hidden="1" customWidth="1"/>
    <col min="26" max="26" width="3" style="7" hidden="1" customWidth="1"/>
    <col min="27" max="27" width="12.5703125" style="7" hidden="1" customWidth="1"/>
    <col min="28" max="29" width="12" style="7" hidden="1" customWidth="1"/>
    <col min="30" max="31" width="10.42578125" style="7" hidden="1" customWidth="1"/>
    <col min="32" max="32" width="10" style="7" hidden="1" customWidth="1"/>
    <col min="33" max="33" width="12.5703125" style="7" hidden="1" customWidth="1"/>
    <col min="34" max="34" width="11.7109375" style="7" hidden="1" customWidth="1"/>
    <col min="35" max="35" width="12.28515625" style="7" hidden="1" customWidth="1"/>
    <col min="36" max="36" width="3" style="7" hidden="1" customWidth="1"/>
    <col min="37" max="37" width="6.140625" style="7" hidden="1" customWidth="1"/>
    <col min="38" max="39" width="7" style="7" hidden="1" customWidth="1"/>
    <col min="40" max="40" width="10.42578125" style="7" hidden="1" customWidth="1"/>
    <col min="41" max="41" width="12.5703125" style="7" hidden="1" customWidth="1"/>
    <col min="42" max="42" width="11.42578125" style="7" bestFit="1" customWidth="1"/>
    <col min="43" max="43" width="12.42578125" style="7" bestFit="1" customWidth="1"/>
    <col min="44" max="44" width="9.7109375" style="7" bestFit="1" customWidth="1"/>
    <col min="45" max="46" width="3" style="7" bestFit="1" customWidth="1"/>
    <col min="47" max="47" width="9.140625" style="7"/>
    <col min="48" max="49" width="3" style="7" bestFit="1" customWidth="1"/>
    <col min="50" max="256" width="9.140625" style="7"/>
    <col min="257" max="257" width="3" style="7" bestFit="1" customWidth="1"/>
    <col min="258" max="258" width="19.28515625" style="7" bestFit="1" customWidth="1"/>
    <col min="259" max="259" width="11.42578125" style="7" bestFit="1" customWidth="1"/>
    <col min="260" max="260" width="13.5703125" style="7" bestFit="1" customWidth="1"/>
    <col min="261" max="261" width="9.42578125" style="7" bestFit="1" customWidth="1"/>
    <col min="262" max="262" width="3.85546875" style="7" bestFit="1" customWidth="1"/>
    <col min="263" max="263" width="6.42578125" style="7" bestFit="1" customWidth="1"/>
    <col min="264" max="264" width="4.5703125" style="7" bestFit="1" customWidth="1"/>
    <col min="265" max="265" width="8.28515625" style="7" bestFit="1" customWidth="1"/>
    <col min="266" max="266" width="12" style="7" bestFit="1" customWidth="1"/>
    <col min="267" max="267" width="5.42578125" style="7" customWidth="1"/>
    <col min="268" max="268" width="2.85546875" style="7" bestFit="1" customWidth="1"/>
    <col min="269" max="272" width="0" style="7" hidden="1" customWidth="1"/>
    <col min="273" max="274" width="3" style="7" bestFit="1" customWidth="1"/>
    <col min="275" max="275" width="7.42578125" style="7" bestFit="1" customWidth="1"/>
    <col min="276" max="277" width="0" style="7" hidden="1" customWidth="1"/>
    <col min="278" max="279" width="3" style="7" bestFit="1" customWidth="1"/>
    <col min="280" max="280" width="7.42578125" style="7" bestFit="1" customWidth="1"/>
    <col min="281" max="297" width="0" style="7" hidden="1" customWidth="1"/>
    <col min="298" max="298" width="11.42578125" style="7" bestFit="1" customWidth="1"/>
    <col min="299" max="299" width="12.42578125" style="7" bestFit="1" customWidth="1"/>
    <col min="300" max="300" width="9.7109375" style="7" bestFit="1" customWidth="1"/>
    <col min="301" max="302" width="3" style="7" bestFit="1" customWidth="1"/>
    <col min="303" max="303" width="9.140625" style="7"/>
    <col min="304" max="305" width="3" style="7" bestFit="1" customWidth="1"/>
    <col min="306" max="512" width="9.140625" style="7"/>
    <col min="513" max="513" width="3" style="7" bestFit="1" customWidth="1"/>
    <col min="514" max="514" width="19.28515625" style="7" bestFit="1" customWidth="1"/>
    <col min="515" max="515" width="11.42578125" style="7" bestFit="1" customWidth="1"/>
    <col min="516" max="516" width="13.5703125" style="7" bestFit="1" customWidth="1"/>
    <col min="517" max="517" width="9.42578125" style="7" bestFit="1" customWidth="1"/>
    <col min="518" max="518" width="3.85546875" style="7" bestFit="1" customWidth="1"/>
    <col min="519" max="519" width="6.42578125" style="7" bestFit="1" customWidth="1"/>
    <col min="520" max="520" width="4.5703125" style="7" bestFit="1" customWidth="1"/>
    <col min="521" max="521" width="8.28515625" style="7" bestFit="1" customWidth="1"/>
    <col min="522" max="522" width="12" style="7" bestFit="1" customWidth="1"/>
    <col min="523" max="523" width="5.42578125" style="7" customWidth="1"/>
    <col min="524" max="524" width="2.85546875" style="7" bestFit="1" customWidth="1"/>
    <col min="525" max="528" width="0" style="7" hidden="1" customWidth="1"/>
    <col min="529" max="530" width="3" style="7" bestFit="1" customWidth="1"/>
    <col min="531" max="531" width="7.42578125" style="7" bestFit="1" customWidth="1"/>
    <col min="532" max="533" width="0" style="7" hidden="1" customWidth="1"/>
    <col min="534" max="535" width="3" style="7" bestFit="1" customWidth="1"/>
    <col min="536" max="536" width="7.42578125" style="7" bestFit="1" customWidth="1"/>
    <col min="537" max="553" width="0" style="7" hidden="1" customWidth="1"/>
    <col min="554" max="554" width="11.42578125" style="7" bestFit="1" customWidth="1"/>
    <col min="555" max="555" width="12.42578125" style="7" bestFit="1" customWidth="1"/>
    <col min="556" max="556" width="9.7109375" style="7" bestFit="1" customWidth="1"/>
    <col min="557" max="558" width="3" style="7" bestFit="1" customWidth="1"/>
    <col min="559" max="559" width="9.140625" style="7"/>
    <col min="560" max="561" width="3" style="7" bestFit="1" customWidth="1"/>
    <col min="562" max="768" width="9.140625" style="7"/>
    <col min="769" max="769" width="3" style="7" bestFit="1" customWidth="1"/>
    <col min="770" max="770" width="19.28515625" style="7" bestFit="1" customWidth="1"/>
    <col min="771" max="771" width="11.42578125" style="7" bestFit="1" customWidth="1"/>
    <col min="772" max="772" width="13.5703125" style="7" bestFit="1" customWidth="1"/>
    <col min="773" max="773" width="9.42578125" style="7" bestFit="1" customWidth="1"/>
    <col min="774" max="774" width="3.85546875" style="7" bestFit="1" customWidth="1"/>
    <col min="775" max="775" width="6.42578125" style="7" bestFit="1" customWidth="1"/>
    <col min="776" max="776" width="4.5703125" style="7" bestFit="1" customWidth="1"/>
    <col min="777" max="777" width="8.28515625" style="7" bestFit="1" customWidth="1"/>
    <col min="778" max="778" width="12" style="7" bestFit="1" customWidth="1"/>
    <col min="779" max="779" width="5.42578125" style="7" customWidth="1"/>
    <col min="780" max="780" width="2.85546875" style="7" bestFit="1" customWidth="1"/>
    <col min="781" max="784" width="0" style="7" hidden="1" customWidth="1"/>
    <col min="785" max="786" width="3" style="7" bestFit="1" customWidth="1"/>
    <col min="787" max="787" width="7.42578125" style="7" bestFit="1" customWidth="1"/>
    <col min="788" max="789" width="0" style="7" hidden="1" customWidth="1"/>
    <col min="790" max="791" width="3" style="7" bestFit="1" customWidth="1"/>
    <col min="792" max="792" width="7.42578125" style="7" bestFit="1" customWidth="1"/>
    <col min="793" max="809" width="0" style="7" hidden="1" customWidth="1"/>
    <col min="810" max="810" width="11.42578125" style="7" bestFit="1" customWidth="1"/>
    <col min="811" max="811" width="12.42578125" style="7" bestFit="1" customWidth="1"/>
    <col min="812" max="812" width="9.7109375" style="7" bestFit="1" customWidth="1"/>
    <col min="813" max="814" width="3" style="7" bestFit="1" customWidth="1"/>
    <col min="815" max="815" width="9.140625" style="7"/>
    <col min="816" max="817" width="3" style="7" bestFit="1" customWidth="1"/>
    <col min="818" max="1024" width="9.140625" style="7"/>
    <col min="1025" max="1025" width="3" style="7" bestFit="1" customWidth="1"/>
    <col min="1026" max="1026" width="19.28515625" style="7" bestFit="1" customWidth="1"/>
    <col min="1027" max="1027" width="11.42578125" style="7" bestFit="1" customWidth="1"/>
    <col min="1028" max="1028" width="13.5703125" style="7" bestFit="1" customWidth="1"/>
    <col min="1029" max="1029" width="9.42578125" style="7" bestFit="1" customWidth="1"/>
    <col min="1030" max="1030" width="3.85546875" style="7" bestFit="1" customWidth="1"/>
    <col min="1031" max="1031" width="6.42578125" style="7" bestFit="1" customWidth="1"/>
    <col min="1032" max="1032" width="4.5703125" style="7" bestFit="1" customWidth="1"/>
    <col min="1033" max="1033" width="8.28515625" style="7" bestFit="1" customWidth="1"/>
    <col min="1034" max="1034" width="12" style="7" bestFit="1" customWidth="1"/>
    <col min="1035" max="1035" width="5.42578125" style="7" customWidth="1"/>
    <col min="1036" max="1036" width="2.85546875" style="7" bestFit="1" customWidth="1"/>
    <col min="1037" max="1040" width="0" style="7" hidden="1" customWidth="1"/>
    <col min="1041" max="1042" width="3" style="7" bestFit="1" customWidth="1"/>
    <col min="1043" max="1043" width="7.42578125" style="7" bestFit="1" customWidth="1"/>
    <col min="1044" max="1045" width="0" style="7" hidden="1" customWidth="1"/>
    <col min="1046" max="1047" width="3" style="7" bestFit="1" customWidth="1"/>
    <col min="1048" max="1048" width="7.42578125" style="7" bestFit="1" customWidth="1"/>
    <col min="1049" max="1065" width="0" style="7" hidden="1" customWidth="1"/>
    <col min="1066" max="1066" width="11.42578125" style="7" bestFit="1" customWidth="1"/>
    <col min="1067" max="1067" width="12.42578125" style="7" bestFit="1" customWidth="1"/>
    <col min="1068" max="1068" width="9.7109375" style="7" bestFit="1" customWidth="1"/>
    <col min="1069" max="1070" width="3" style="7" bestFit="1" customWidth="1"/>
    <col min="1071" max="1071" width="9.140625" style="7"/>
    <col min="1072" max="1073" width="3" style="7" bestFit="1" customWidth="1"/>
    <col min="1074" max="1280" width="9.140625" style="7"/>
    <col min="1281" max="1281" width="3" style="7" bestFit="1" customWidth="1"/>
    <col min="1282" max="1282" width="19.28515625" style="7" bestFit="1" customWidth="1"/>
    <col min="1283" max="1283" width="11.42578125" style="7" bestFit="1" customWidth="1"/>
    <col min="1284" max="1284" width="13.5703125" style="7" bestFit="1" customWidth="1"/>
    <col min="1285" max="1285" width="9.42578125" style="7" bestFit="1" customWidth="1"/>
    <col min="1286" max="1286" width="3.85546875" style="7" bestFit="1" customWidth="1"/>
    <col min="1287" max="1287" width="6.42578125" style="7" bestFit="1" customWidth="1"/>
    <col min="1288" max="1288" width="4.5703125" style="7" bestFit="1" customWidth="1"/>
    <col min="1289" max="1289" width="8.28515625" style="7" bestFit="1" customWidth="1"/>
    <col min="1290" max="1290" width="12" style="7" bestFit="1" customWidth="1"/>
    <col min="1291" max="1291" width="5.42578125" style="7" customWidth="1"/>
    <col min="1292" max="1292" width="2.85546875" style="7" bestFit="1" customWidth="1"/>
    <col min="1293" max="1296" width="0" style="7" hidden="1" customWidth="1"/>
    <col min="1297" max="1298" width="3" style="7" bestFit="1" customWidth="1"/>
    <col min="1299" max="1299" width="7.42578125" style="7" bestFit="1" customWidth="1"/>
    <col min="1300" max="1301" width="0" style="7" hidden="1" customWidth="1"/>
    <col min="1302" max="1303" width="3" style="7" bestFit="1" customWidth="1"/>
    <col min="1304" max="1304" width="7.42578125" style="7" bestFit="1" customWidth="1"/>
    <col min="1305" max="1321" width="0" style="7" hidden="1" customWidth="1"/>
    <col min="1322" max="1322" width="11.42578125" style="7" bestFit="1" customWidth="1"/>
    <col min="1323" max="1323" width="12.42578125" style="7" bestFit="1" customWidth="1"/>
    <col min="1324" max="1324" width="9.7109375" style="7" bestFit="1" customWidth="1"/>
    <col min="1325" max="1326" width="3" style="7" bestFit="1" customWidth="1"/>
    <col min="1327" max="1327" width="9.140625" style="7"/>
    <col min="1328" max="1329" width="3" style="7" bestFit="1" customWidth="1"/>
    <col min="1330" max="1536" width="9.140625" style="7"/>
    <col min="1537" max="1537" width="3" style="7" bestFit="1" customWidth="1"/>
    <col min="1538" max="1538" width="19.28515625" style="7" bestFit="1" customWidth="1"/>
    <col min="1539" max="1539" width="11.42578125" style="7" bestFit="1" customWidth="1"/>
    <col min="1540" max="1540" width="13.5703125" style="7" bestFit="1" customWidth="1"/>
    <col min="1541" max="1541" width="9.42578125" style="7" bestFit="1" customWidth="1"/>
    <col min="1542" max="1542" width="3.85546875" style="7" bestFit="1" customWidth="1"/>
    <col min="1543" max="1543" width="6.42578125" style="7" bestFit="1" customWidth="1"/>
    <col min="1544" max="1544" width="4.5703125" style="7" bestFit="1" customWidth="1"/>
    <col min="1545" max="1545" width="8.28515625" style="7" bestFit="1" customWidth="1"/>
    <col min="1546" max="1546" width="12" style="7" bestFit="1" customWidth="1"/>
    <col min="1547" max="1547" width="5.42578125" style="7" customWidth="1"/>
    <col min="1548" max="1548" width="2.85546875" style="7" bestFit="1" customWidth="1"/>
    <col min="1549" max="1552" width="0" style="7" hidden="1" customWidth="1"/>
    <col min="1553" max="1554" width="3" style="7" bestFit="1" customWidth="1"/>
    <col min="1555" max="1555" width="7.42578125" style="7" bestFit="1" customWidth="1"/>
    <col min="1556" max="1557" width="0" style="7" hidden="1" customWidth="1"/>
    <col min="1558" max="1559" width="3" style="7" bestFit="1" customWidth="1"/>
    <col min="1560" max="1560" width="7.42578125" style="7" bestFit="1" customWidth="1"/>
    <col min="1561" max="1577" width="0" style="7" hidden="1" customWidth="1"/>
    <col min="1578" max="1578" width="11.42578125" style="7" bestFit="1" customWidth="1"/>
    <col min="1579" max="1579" width="12.42578125" style="7" bestFit="1" customWidth="1"/>
    <col min="1580" max="1580" width="9.7109375" style="7" bestFit="1" customWidth="1"/>
    <col min="1581" max="1582" width="3" style="7" bestFit="1" customWidth="1"/>
    <col min="1583" max="1583" width="9.140625" style="7"/>
    <col min="1584" max="1585" width="3" style="7" bestFit="1" customWidth="1"/>
    <col min="1586" max="1792" width="9.140625" style="7"/>
    <col min="1793" max="1793" width="3" style="7" bestFit="1" customWidth="1"/>
    <col min="1794" max="1794" width="19.28515625" style="7" bestFit="1" customWidth="1"/>
    <col min="1795" max="1795" width="11.42578125" style="7" bestFit="1" customWidth="1"/>
    <col min="1796" max="1796" width="13.5703125" style="7" bestFit="1" customWidth="1"/>
    <col min="1797" max="1797" width="9.42578125" style="7" bestFit="1" customWidth="1"/>
    <col min="1798" max="1798" width="3.85546875" style="7" bestFit="1" customWidth="1"/>
    <col min="1799" max="1799" width="6.42578125" style="7" bestFit="1" customWidth="1"/>
    <col min="1800" max="1800" width="4.5703125" style="7" bestFit="1" customWidth="1"/>
    <col min="1801" max="1801" width="8.28515625" style="7" bestFit="1" customWidth="1"/>
    <col min="1802" max="1802" width="12" style="7" bestFit="1" customWidth="1"/>
    <col min="1803" max="1803" width="5.42578125" style="7" customWidth="1"/>
    <col min="1804" max="1804" width="2.85546875" style="7" bestFit="1" customWidth="1"/>
    <col min="1805" max="1808" width="0" style="7" hidden="1" customWidth="1"/>
    <col min="1809" max="1810" width="3" style="7" bestFit="1" customWidth="1"/>
    <col min="1811" max="1811" width="7.42578125" style="7" bestFit="1" customWidth="1"/>
    <col min="1812" max="1813" width="0" style="7" hidden="1" customWidth="1"/>
    <col min="1814" max="1815" width="3" style="7" bestFit="1" customWidth="1"/>
    <col min="1816" max="1816" width="7.42578125" style="7" bestFit="1" customWidth="1"/>
    <col min="1817" max="1833" width="0" style="7" hidden="1" customWidth="1"/>
    <col min="1834" max="1834" width="11.42578125" style="7" bestFit="1" customWidth="1"/>
    <col min="1835" max="1835" width="12.42578125" style="7" bestFit="1" customWidth="1"/>
    <col min="1836" max="1836" width="9.7109375" style="7" bestFit="1" customWidth="1"/>
    <col min="1837" max="1838" width="3" style="7" bestFit="1" customWidth="1"/>
    <col min="1839" max="1839" width="9.140625" style="7"/>
    <col min="1840" max="1841" width="3" style="7" bestFit="1" customWidth="1"/>
    <col min="1842" max="2048" width="9.140625" style="7"/>
    <col min="2049" max="2049" width="3" style="7" bestFit="1" customWidth="1"/>
    <col min="2050" max="2050" width="19.28515625" style="7" bestFit="1" customWidth="1"/>
    <col min="2051" max="2051" width="11.42578125" style="7" bestFit="1" customWidth="1"/>
    <col min="2052" max="2052" width="13.5703125" style="7" bestFit="1" customWidth="1"/>
    <col min="2053" max="2053" width="9.42578125" style="7" bestFit="1" customWidth="1"/>
    <col min="2054" max="2054" width="3.85546875" style="7" bestFit="1" customWidth="1"/>
    <col min="2055" max="2055" width="6.42578125" style="7" bestFit="1" customWidth="1"/>
    <col min="2056" max="2056" width="4.5703125" style="7" bestFit="1" customWidth="1"/>
    <col min="2057" max="2057" width="8.28515625" style="7" bestFit="1" customWidth="1"/>
    <col min="2058" max="2058" width="12" style="7" bestFit="1" customWidth="1"/>
    <col min="2059" max="2059" width="5.42578125" style="7" customWidth="1"/>
    <col min="2060" max="2060" width="2.85546875" style="7" bestFit="1" customWidth="1"/>
    <col min="2061" max="2064" width="0" style="7" hidden="1" customWidth="1"/>
    <col min="2065" max="2066" width="3" style="7" bestFit="1" customWidth="1"/>
    <col min="2067" max="2067" width="7.42578125" style="7" bestFit="1" customWidth="1"/>
    <col min="2068" max="2069" width="0" style="7" hidden="1" customWidth="1"/>
    <col min="2070" max="2071" width="3" style="7" bestFit="1" customWidth="1"/>
    <col min="2072" max="2072" width="7.42578125" style="7" bestFit="1" customWidth="1"/>
    <col min="2073" max="2089" width="0" style="7" hidden="1" customWidth="1"/>
    <col min="2090" max="2090" width="11.42578125" style="7" bestFit="1" customWidth="1"/>
    <col min="2091" max="2091" width="12.42578125" style="7" bestFit="1" customWidth="1"/>
    <col min="2092" max="2092" width="9.7109375" style="7" bestFit="1" customWidth="1"/>
    <col min="2093" max="2094" width="3" style="7" bestFit="1" customWidth="1"/>
    <col min="2095" max="2095" width="9.140625" style="7"/>
    <col min="2096" max="2097" width="3" style="7" bestFit="1" customWidth="1"/>
    <col min="2098" max="2304" width="9.140625" style="7"/>
    <col min="2305" max="2305" width="3" style="7" bestFit="1" customWidth="1"/>
    <col min="2306" max="2306" width="19.28515625" style="7" bestFit="1" customWidth="1"/>
    <col min="2307" max="2307" width="11.42578125" style="7" bestFit="1" customWidth="1"/>
    <col min="2308" max="2308" width="13.5703125" style="7" bestFit="1" customWidth="1"/>
    <col min="2309" max="2309" width="9.42578125" style="7" bestFit="1" customWidth="1"/>
    <col min="2310" max="2310" width="3.85546875" style="7" bestFit="1" customWidth="1"/>
    <col min="2311" max="2311" width="6.42578125" style="7" bestFit="1" customWidth="1"/>
    <col min="2312" max="2312" width="4.5703125" style="7" bestFit="1" customWidth="1"/>
    <col min="2313" max="2313" width="8.28515625" style="7" bestFit="1" customWidth="1"/>
    <col min="2314" max="2314" width="12" style="7" bestFit="1" customWidth="1"/>
    <col min="2315" max="2315" width="5.42578125" style="7" customWidth="1"/>
    <col min="2316" max="2316" width="2.85546875" style="7" bestFit="1" customWidth="1"/>
    <col min="2317" max="2320" width="0" style="7" hidden="1" customWidth="1"/>
    <col min="2321" max="2322" width="3" style="7" bestFit="1" customWidth="1"/>
    <col min="2323" max="2323" width="7.42578125" style="7" bestFit="1" customWidth="1"/>
    <col min="2324" max="2325" width="0" style="7" hidden="1" customWidth="1"/>
    <col min="2326" max="2327" width="3" style="7" bestFit="1" customWidth="1"/>
    <col min="2328" max="2328" width="7.42578125" style="7" bestFit="1" customWidth="1"/>
    <col min="2329" max="2345" width="0" style="7" hidden="1" customWidth="1"/>
    <col min="2346" max="2346" width="11.42578125" style="7" bestFit="1" customWidth="1"/>
    <col min="2347" max="2347" width="12.42578125" style="7" bestFit="1" customWidth="1"/>
    <col min="2348" max="2348" width="9.7109375" style="7" bestFit="1" customWidth="1"/>
    <col min="2349" max="2350" width="3" style="7" bestFit="1" customWidth="1"/>
    <col min="2351" max="2351" width="9.140625" style="7"/>
    <col min="2352" max="2353" width="3" style="7" bestFit="1" customWidth="1"/>
    <col min="2354" max="2560" width="9.140625" style="7"/>
    <col min="2561" max="2561" width="3" style="7" bestFit="1" customWidth="1"/>
    <col min="2562" max="2562" width="19.28515625" style="7" bestFit="1" customWidth="1"/>
    <col min="2563" max="2563" width="11.42578125" style="7" bestFit="1" customWidth="1"/>
    <col min="2564" max="2564" width="13.5703125" style="7" bestFit="1" customWidth="1"/>
    <col min="2565" max="2565" width="9.42578125" style="7" bestFit="1" customWidth="1"/>
    <col min="2566" max="2566" width="3.85546875" style="7" bestFit="1" customWidth="1"/>
    <col min="2567" max="2567" width="6.42578125" style="7" bestFit="1" customWidth="1"/>
    <col min="2568" max="2568" width="4.5703125" style="7" bestFit="1" customWidth="1"/>
    <col min="2569" max="2569" width="8.28515625" style="7" bestFit="1" customWidth="1"/>
    <col min="2570" max="2570" width="12" style="7" bestFit="1" customWidth="1"/>
    <col min="2571" max="2571" width="5.42578125" style="7" customWidth="1"/>
    <col min="2572" max="2572" width="2.85546875" style="7" bestFit="1" customWidth="1"/>
    <col min="2573" max="2576" width="0" style="7" hidden="1" customWidth="1"/>
    <col min="2577" max="2578" width="3" style="7" bestFit="1" customWidth="1"/>
    <col min="2579" max="2579" width="7.42578125" style="7" bestFit="1" customWidth="1"/>
    <col min="2580" max="2581" width="0" style="7" hidden="1" customWidth="1"/>
    <col min="2582" max="2583" width="3" style="7" bestFit="1" customWidth="1"/>
    <col min="2584" max="2584" width="7.42578125" style="7" bestFit="1" customWidth="1"/>
    <col min="2585" max="2601" width="0" style="7" hidden="1" customWidth="1"/>
    <col min="2602" max="2602" width="11.42578125" style="7" bestFit="1" customWidth="1"/>
    <col min="2603" max="2603" width="12.42578125" style="7" bestFit="1" customWidth="1"/>
    <col min="2604" max="2604" width="9.7109375" style="7" bestFit="1" customWidth="1"/>
    <col min="2605" max="2606" width="3" style="7" bestFit="1" customWidth="1"/>
    <col min="2607" max="2607" width="9.140625" style="7"/>
    <col min="2608" max="2609" width="3" style="7" bestFit="1" customWidth="1"/>
    <col min="2610" max="2816" width="9.140625" style="7"/>
    <col min="2817" max="2817" width="3" style="7" bestFit="1" customWidth="1"/>
    <col min="2818" max="2818" width="19.28515625" style="7" bestFit="1" customWidth="1"/>
    <col min="2819" max="2819" width="11.42578125" style="7" bestFit="1" customWidth="1"/>
    <col min="2820" max="2820" width="13.5703125" style="7" bestFit="1" customWidth="1"/>
    <col min="2821" max="2821" width="9.42578125" style="7" bestFit="1" customWidth="1"/>
    <col min="2822" max="2822" width="3.85546875" style="7" bestFit="1" customWidth="1"/>
    <col min="2823" max="2823" width="6.42578125" style="7" bestFit="1" customWidth="1"/>
    <col min="2824" max="2824" width="4.5703125" style="7" bestFit="1" customWidth="1"/>
    <col min="2825" max="2825" width="8.28515625" style="7" bestFit="1" customWidth="1"/>
    <col min="2826" max="2826" width="12" style="7" bestFit="1" customWidth="1"/>
    <col min="2827" max="2827" width="5.42578125" style="7" customWidth="1"/>
    <col min="2828" max="2828" width="2.85546875" style="7" bestFit="1" customWidth="1"/>
    <col min="2829" max="2832" width="0" style="7" hidden="1" customWidth="1"/>
    <col min="2833" max="2834" width="3" style="7" bestFit="1" customWidth="1"/>
    <col min="2835" max="2835" width="7.42578125" style="7" bestFit="1" customWidth="1"/>
    <col min="2836" max="2837" width="0" style="7" hidden="1" customWidth="1"/>
    <col min="2838" max="2839" width="3" style="7" bestFit="1" customWidth="1"/>
    <col min="2840" max="2840" width="7.42578125" style="7" bestFit="1" customWidth="1"/>
    <col min="2841" max="2857" width="0" style="7" hidden="1" customWidth="1"/>
    <col min="2858" max="2858" width="11.42578125" style="7" bestFit="1" customWidth="1"/>
    <col min="2859" max="2859" width="12.42578125" style="7" bestFit="1" customWidth="1"/>
    <col min="2860" max="2860" width="9.7109375" style="7" bestFit="1" customWidth="1"/>
    <col min="2861" max="2862" width="3" style="7" bestFit="1" customWidth="1"/>
    <col min="2863" max="2863" width="9.140625" style="7"/>
    <col min="2864" max="2865" width="3" style="7" bestFit="1" customWidth="1"/>
    <col min="2866" max="3072" width="9.140625" style="7"/>
    <col min="3073" max="3073" width="3" style="7" bestFit="1" customWidth="1"/>
    <col min="3074" max="3074" width="19.28515625" style="7" bestFit="1" customWidth="1"/>
    <col min="3075" max="3075" width="11.42578125" style="7" bestFit="1" customWidth="1"/>
    <col min="3076" max="3076" width="13.5703125" style="7" bestFit="1" customWidth="1"/>
    <col min="3077" max="3077" width="9.42578125" style="7" bestFit="1" customWidth="1"/>
    <col min="3078" max="3078" width="3.85546875" style="7" bestFit="1" customWidth="1"/>
    <col min="3079" max="3079" width="6.42578125" style="7" bestFit="1" customWidth="1"/>
    <col min="3080" max="3080" width="4.5703125" style="7" bestFit="1" customWidth="1"/>
    <col min="3081" max="3081" width="8.28515625" style="7" bestFit="1" customWidth="1"/>
    <col min="3082" max="3082" width="12" style="7" bestFit="1" customWidth="1"/>
    <col min="3083" max="3083" width="5.42578125" style="7" customWidth="1"/>
    <col min="3084" max="3084" width="2.85546875" style="7" bestFit="1" customWidth="1"/>
    <col min="3085" max="3088" width="0" style="7" hidden="1" customWidth="1"/>
    <col min="3089" max="3090" width="3" style="7" bestFit="1" customWidth="1"/>
    <col min="3091" max="3091" width="7.42578125" style="7" bestFit="1" customWidth="1"/>
    <col min="3092" max="3093" width="0" style="7" hidden="1" customWidth="1"/>
    <col min="3094" max="3095" width="3" style="7" bestFit="1" customWidth="1"/>
    <col min="3096" max="3096" width="7.42578125" style="7" bestFit="1" customWidth="1"/>
    <col min="3097" max="3113" width="0" style="7" hidden="1" customWidth="1"/>
    <col min="3114" max="3114" width="11.42578125" style="7" bestFit="1" customWidth="1"/>
    <col min="3115" max="3115" width="12.42578125" style="7" bestFit="1" customWidth="1"/>
    <col min="3116" max="3116" width="9.7109375" style="7" bestFit="1" customWidth="1"/>
    <col min="3117" max="3118" width="3" style="7" bestFit="1" customWidth="1"/>
    <col min="3119" max="3119" width="9.140625" style="7"/>
    <col min="3120" max="3121" width="3" style="7" bestFit="1" customWidth="1"/>
    <col min="3122" max="3328" width="9.140625" style="7"/>
    <col min="3329" max="3329" width="3" style="7" bestFit="1" customWidth="1"/>
    <col min="3330" max="3330" width="19.28515625" style="7" bestFit="1" customWidth="1"/>
    <col min="3331" max="3331" width="11.42578125" style="7" bestFit="1" customWidth="1"/>
    <col min="3332" max="3332" width="13.5703125" style="7" bestFit="1" customWidth="1"/>
    <col min="3333" max="3333" width="9.42578125" style="7" bestFit="1" customWidth="1"/>
    <col min="3334" max="3334" width="3.85546875" style="7" bestFit="1" customWidth="1"/>
    <col min="3335" max="3335" width="6.42578125" style="7" bestFit="1" customWidth="1"/>
    <col min="3336" max="3336" width="4.5703125" style="7" bestFit="1" customWidth="1"/>
    <col min="3337" max="3337" width="8.28515625" style="7" bestFit="1" customWidth="1"/>
    <col min="3338" max="3338" width="12" style="7" bestFit="1" customWidth="1"/>
    <col min="3339" max="3339" width="5.42578125" style="7" customWidth="1"/>
    <col min="3340" max="3340" width="2.85546875" style="7" bestFit="1" customWidth="1"/>
    <col min="3341" max="3344" width="0" style="7" hidden="1" customWidth="1"/>
    <col min="3345" max="3346" width="3" style="7" bestFit="1" customWidth="1"/>
    <col min="3347" max="3347" width="7.42578125" style="7" bestFit="1" customWidth="1"/>
    <col min="3348" max="3349" width="0" style="7" hidden="1" customWidth="1"/>
    <col min="3350" max="3351" width="3" style="7" bestFit="1" customWidth="1"/>
    <col min="3352" max="3352" width="7.42578125" style="7" bestFit="1" customWidth="1"/>
    <col min="3353" max="3369" width="0" style="7" hidden="1" customWidth="1"/>
    <col min="3370" max="3370" width="11.42578125" style="7" bestFit="1" customWidth="1"/>
    <col min="3371" max="3371" width="12.42578125" style="7" bestFit="1" customWidth="1"/>
    <col min="3372" max="3372" width="9.7109375" style="7" bestFit="1" customWidth="1"/>
    <col min="3373" max="3374" width="3" style="7" bestFit="1" customWidth="1"/>
    <col min="3375" max="3375" width="9.140625" style="7"/>
    <col min="3376" max="3377" width="3" style="7" bestFit="1" customWidth="1"/>
    <col min="3378" max="3584" width="9.140625" style="7"/>
    <col min="3585" max="3585" width="3" style="7" bestFit="1" customWidth="1"/>
    <col min="3586" max="3586" width="19.28515625" style="7" bestFit="1" customWidth="1"/>
    <col min="3587" max="3587" width="11.42578125" style="7" bestFit="1" customWidth="1"/>
    <col min="3588" max="3588" width="13.5703125" style="7" bestFit="1" customWidth="1"/>
    <col min="3589" max="3589" width="9.42578125" style="7" bestFit="1" customWidth="1"/>
    <col min="3590" max="3590" width="3.85546875" style="7" bestFit="1" customWidth="1"/>
    <col min="3591" max="3591" width="6.42578125" style="7" bestFit="1" customWidth="1"/>
    <col min="3592" max="3592" width="4.5703125" style="7" bestFit="1" customWidth="1"/>
    <col min="3593" max="3593" width="8.28515625" style="7" bestFit="1" customWidth="1"/>
    <col min="3594" max="3594" width="12" style="7" bestFit="1" customWidth="1"/>
    <col min="3595" max="3595" width="5.42578125" style="7" customWidth="1"/>
    <col min="3596" max="3596" width="2.85546875" style="7" bestFit="1" customWidth="1"/>
    <col min="3597" max="3600" width="0" style="7" hidden="1" customWidth="1"/>
    <col min="3601" max="3602" width="3" style="7" bestFit="1" customWidth="1"/>
    <col min="3603" max="3603" width="7.42578125" style="7" bestFit="1" customWidth="1"/>
    <col min="3604" max="3605" width="0" style="7" hidden="1" customWidth="1"/>
    <col min="3606" max="3607" width="3" style="7" bestFit="1" customWidth="1"/>
    <col min="3608" max="3608" width="7.42578125" style="7" bestFit="1" customWidth="1"/>
    <col min="3609" max="3625" width="0" style="7" hidden="1" customWidth="1"/>
    <col min="3626" max="3626" width="11.42578125" style="7" bestFit="1" customWidth="1"/>
    <col min="3627" max="3627" width="12.42578125" style="7" bestFit="1" customWidth="1"/>
    <col min="3628" max="3628" width="9.7109375" style="7" bestFit="1" customWidth="1"/>
    <col min="3629" max="3630" width="3" style="7" bestFit="1" customWidth="1"/>
    <col min="3631" max="3631" width="9.140625" style="7"/>
    <col min="3632" max="3633" width="3" style="7" bestFit="1" customWidth="1"/>
    <col min="3634" max="3840" width="9.140625" style="7"/>
    <col min="3841" max="3841" width="3" style="7" bestFit="1" customWidth="1"/>
    <col min="3842" max="3842" width="19.28515625" style="7" bestFit="1" customWidth="1"/>
    <col min="3843" max="3843" width="11.42578125" style="7" bestFit="1" customWidth="1"/>
    <col min="3844" max="3844" width="13.5703125" style="7" bestFit="1" customWidth="1"/>
    <col min="3845" max="3845" width="9.42578125" style="7" bestFit="1" customWidth="1"/>
    <col min="3846" max="3846" width="3.85546875" style="7" bestFit="1" customWidth="1"/>
    <col min="3847" max="3847" width="6.42578125" style="7" bestFit="1" customWidth="1"/>
    <col min="3848" max="3848" width="4.5703125" style="7" bestFit="1" customWidth="1"/>
    <col min="3849" max="3849" width="8.28515625" style="7" bestFit="1" customWidth="1"/>
    <col min="3850" max="3850" width="12" style="7" bestFit="1" customWidth="1"/>
    <col min="3851" max="3851" width="5.42578125" style="7" customWidth="1"/>
    <col min="3852" max="3852" width="2.85546875" style="7" bestFit="1" customWidth="1"/>
    <col min="3853" max="3856" width="0" style="7" hidden="1" customWidth="1"/>
    <col min="3857" max="3858" width="3" style="7" bestFit="1" customWidth="1"/>
    <col min="3859" max="3859" width="7.42578125" style="7" bestFit="1" customWidth="1"/>
    <col min="3860" max="3861" width="0" style="7" hidden="1" customWidth="1"/>
    <col min="3862" max="3863" width="3" style="7" bestFit="1" customWidth="1"/>
    <col min="3864" max="3864" width="7.42578125" style="7" bestFit="1" customWidth="1"/>
    <col min="3865" max="3881" width="0" style="7" hidden="1" customWidth="1"/>
    <col min="3882" max="3882" width="11.42578125" style="7" bestFit="1" customWidth="1"/>
    <col min="3883" max="3883" width="12.42578125" style="7" bestFit="1" customWidth="1"/>
    <col min="3884" max="3884" width="9.7109375" style="7" bestFit="1" customWidth="1"/>
    <col min="3885" max="3886" width="3" style="7" bestFit="1" customWidth="1"/>
    <col min="3887" max="3887" width="9.140625" style="7"/>
    <col min="3888" max="3889" width="3" style="7" bestFit="1" customWidth="1"/>
    <col min="3890" max="4096" width="9.140625" style="7"/>
    <col min="4097" max="4097" width="3" style="7" bestFit="1" customWidth="1"/>
    <col min="4098" max="4098" width="19.28515625" style="7" bestFit="1" customWidth="1"/>
    <col min="4099" max="4099" width="11.42578125" style="7" bestFit="1" customWidth="1"/>
    <col min="4100" max="4100" width="13.5703125" style="7" bestFit="1" customWidth="1"/>
    <col min="4101" max="4101" width="9.42578125" style="7" bestFit="1" customWidth="1"/>
    <col min="4102" max="4102" width="3.85546875" style="7" bestFit="1" customWidth="1"/>
    <col min="4103" max="4103" width="6.42578125" style="7" bestFit="1" customWidth="1"/>
    <col min="4104" max="4104" width="4.5703125" style="7" bestFit="1" customWidth="1"/>
    <col min="4105" max="4105" width="8.28515625" style="7" bestFit="1" customWidth="1"/>
    <col min="4106" max="4106" width="12" style="7" bestFit="1" customWidth="1"/>
    <col min="4107" max="4107" width="5.42578125" style="7" customWidth="1"/>
    <col min="4108" max="4108" width="2.85546875" style="7" bestFit="1" customWidth="1"/>
    <col min="4109" max="4112" width="0" style="7" hidden="1" customWidth="1"/>
    <col min="4113" max="4114" width="3" style="7" bestFit="1" customWidth="1"/>
    <col min="4115" max="4115" width="7.42578125" style="7" bestFit="1" customWidth="1"/>
    <col min="4116" max="4117" width="0" style="7" hidden="1" customWidth="1"/>
    <col min="4118" max="4119" width="3" style="7" bestFit="1" customWidth="1"/>
    <col min="4120" max="4120" width="7.42578125" style="7" bestFit="1" customWidth="1"/>
    <col min="4121" max="4137" width="0" style="7" hidden="1" customWidth="1"/>
    <col min="4138" max="4138" width="11.42578125" style="7" bestFit="1" customWidth="1"/>
    <col min="4139" max="4139" width="12.42578125" style="7" bestFit="1" customWidth="1"/>
    <col min="4140" max="4140" width="9.7109375" style="7" bestFit="1" customWidth="1"/>
    <col min="4141" max="4142" width="3" style="7" bestFit="1" customWidth="1"/>
    <col min="4143" max="4143" width="9.140625" style="7"/>
    <col min="4144" max="4145" width="3" style="7" bestFit="1" customWidth="1"/>
    <col min="4146" max="4352" width="9.140625" style="7"/>
    <col min="4353" max="4353" width="3" style="7" bestFit="1" customWidth="1"/>
    <col min="4354" max="4354" width="19.28515625" style="7" bestFit="1" customWidth="1"/>
    <col min="4355" max="4355" width="11.42578125" style="7" bestFit="1" customWidth="1"/>
    <col min="4356" max="4356" width="13.5703125" style="7" bestFit="1" customWidth="1"/>
    <col min="4357" max="4357" width="9.42578125" style="7" bestFit="1" customWidth="1"/>
    <col min="4358" max="4358" width="3.85546875" style="7" bestFit="1" customWidth="1"/>
    <col min="4359" max="4359" width="6.42578125" style="7" bestFit="1" customWidth="1"/>
    <col min="4360" max="4360" width="4.5703125" style="7" bestFit="1" customWidth="1"/>
    <col min="4361" max="4361" width="8.28515625" style="7" bestFit="1" customWidth="1"/>
    <col min="4362" max="4362" width="12" style="7" bestFit="1" customWidth="1"/>
    <col min="4363" max="4363" width="5.42578125" style="7" customWidth="1"/>
    <col min="4364" max="4364" width="2.85546875" style="7" bestFit="1" customWidth="1"/>
    <col min="4365" max="4368" width="0" style="7" hidden="1" customWidth="1"/>
    <col min="4369" max="4370" width="3" style="7" bestFit="1" customWidth="1"/>
    <col min="4371" max="4371" width="7.42578125" style="7" bestFit="1" customWidth="1"/>
    <col min="4372" max="4373" width="0" style="7" hidden="1" customWidth="1"/>
    <col min="4374" max="4375" width="3" style="7" bestFit="1" customWidth="1"/>
    <col min="4376" max="4376" width="7.42578125" style="7" bestFit="1" customWidth="1"/>
    <col min="4377" max="4393" width="0" style="7" hidden="1" customWidth="1"/>
    <col min="4394" max="4394" width="11.42578125" style="7" bestFit="1" customWidth="1"/>
    <col min="4395" max="4395" width="12.42578125" style="7" bestFit="1" customWidth="1"/>
    <col min="4396" max="4396" width="9.7109375" style="7" bestFit="1" customWidth="1"/>
    <col min="4397" max="4398" width="3" style="7" bestFit="1" customWidth="1"/>
    <col min="4399" max="4399" width="9.140625" style="7"/>
    <col min="4400" max="4401" width="3" style="7" bestFit="1" customWidth="1"/>
    <col min="4402" max="4608" width="9.140625" style="7"/>
    <col min="4609" max="4609" width="3" style="7" bestFit="1" customWidth="1"/>
    <col min="4610" max="4610" width="19.28515625" style="7" bestFit="1" customWidth="1"/>
    <col min="4611" max="4611" width="11.42578125" style="7" bestFit="1" customWidth="1"/>
    <col min="4612" max="4612" width="13.5703125" style="7" bestFit="1" customWidth="1"/>
    <col min="4613" max="4613" width="9.42578125" style="7" bestFit="1" customWidth="1"/>
    <col min="4614" max="4614" width="3.85546875" style="7" bestFit="1" customWidth="1"/>
    <col min="4615" max="4615" width="6.42578125" style="7" bestFit="1" customWidth="1"/>
    <col min="4616" max="4616" width="4.5703125" style="7" bestFit="1" customWidth="1"/>
    <col min="4617" max="4617" width="8.28515625" style="7" bestFit="1" customWidth="1"/>
    <col min="4618" max="4618" width="12" style="7" bestFit="1" customWidth="1"/>
    <col min="4619" max="4619" width="5.42578125" style="7" customWidth="1"/>
    <col min="4620" max="4620" width="2.85546875" style="7" bestFit="1" customWidth="1"/>
    <col min="4621" max="4624" width="0" style="7" hidden="1" customWidth="1"/>
    <col min="4625" max="4626" width="3" style="7" bestFit="1" customWidth="1"/>
    <col min="4627" max="4627" width="7.42578125" style="7" bestFit="1" customWidth="1"/>
    <col min="4628" max="4629" width="0" style="7" hidden="1" customWidth="1"/>
    <col min="4630" max="4631" width="3" style="7" bestFit="1" customWidth="1"/>
    <col min="4632" max="4632" width="7.42578125" style="7" bestFit="1" customWidth="1"/>
    <col min="4633" max="4649" width="0" style="7" hidden="1" customWidth="1"/>
    <col min="4650" max="4650" width="11.42578125" style="7" bestFit="1" customWidth="1"/>
    <col min="4651" max="4651" width="12.42578125" style="7" bestFit="1" customWidth="1"/>
    <col min="4652" max="4652" width="9.7109375" style="7" bestFit="1" customWidth="1"/>
    <col min="4653" max="4654" width="3" style="7" bestFit="1" customWidth="1"/>
    <col min="4655" max="4655" width="9.140625" style="7"/>
    <col min="4656" max="4657" width="3" style="7" bestFit="1" customWidth="1"/>
    <col min="4658" max="4864" width="9.140625" style="7"/>
    <col min="4865" max="4865" width="3" style="7" bestFit="1" customWidth="1"/>
    <col min="4866" max="4866" width="19.28515625" style="7" bestFit="1" customWidth="1"/>
    <col min="4867" max="4867" width="11.42578125" style="7" bestFit="1" customWidth="1"/>
    <col min="4868" max="4868" width="13.5703125" style="7" bestFit="1" customWidth="1"/>
    <col min="4869" max="4869" width="9.42578125" style="7" bestFit="1" customWidth="1"/>
    <col min="4870" max="4870" width="3.85546875" style="7" bestFit="1" customWidth="1"/>
    <col min="4871" max="4871" width="6.42578125" style="7" bestFit="1" customWidth="1"/>
    <col min="4872" max="4872" width="4.5703125" style="7" bestFit="1" customWidth="1"/>
    <col min="4873" max="4873" width="8.28515625" style="7" bestFit="1" customWidth="1"/>
    <col min="4874" max="4874" width="12" style="7" bestFit="1" customWidth="1"/>
    <col min="4875" max="4875" width="5.42578125" style="7" customWidth="1"/>
    <col min="4876" max="4876" width="2.85546875" style="7" bestFit="1" customWidth="1"/>
    <col min="4877" max="4880" width="0" style="7" hidden="1" customWidth="1"/>
    <col min="4881" max="4882" width="3" style="7" bestFit="1" customWidth="1"/>
    <col min="4883" max="4883" width="7.42578125" style="7" bestFit="1" customWidth="1"/>
    <col min="4884" max="4885" width="0" style="7" hidden="1" customWidth="1"/>
    <col min="4886" max="4887" width="3" style="7" bestFit="1" customWidth="1"/>
    <col min="4888" max="4888" width="7.42578125" style="7" bestFit="1" customWidth="1"/>
    <col min="4889" max="4905" width="0" style="7" hidden="1" customWidth="1"/>
    <col min="4906" max="4906" width="11.42578125" style="7" bestFit="1" customWidth="1"/>
    <col min="4907" max="4907" width="12.42578125" style="7" bestFit="1" customWidth="1"/>
    <col min="4908" max="4908" width="9.7109375" style="7" bestFit="1" customWidth="1"/>
    <col min="4909" max="4910" width="3" style="7" bestFit="1" customWidth="1"/>
    <col min="4911" max="4911" width="9.140625" style="7"/>
    <col min="4912" max="4913" width="3" style="7" bestFit="1" customWidth="1"/>
    <col min="4914" max="5120" width="9.140625" style="7"/>
    <col min="5121" max="5121" width="3" style="7" bestFit="1" customWidth="1"/>
    <col min="5122" max="5122" width="19.28515625" style="7" bestFit="1" customWidth="1"/>
    <col min="5123" max="5123" width="11.42578125" style="7" bestFit="1" customWidth="1"/>
    <col min="5124" max="5124" width="13.5703125" style="7" bestFit="1" customWidth="1"/>
    <col min="5125" max="5125" width="9.42578125" style="7" bestFit="1" customWidth="1"/>
    <col min="5126" max="5126" width="3.85546875" style="7" bestFit="1" customWidth="1"/>
    <col min="5127" max="5127" width="6.42578125" style="7" bestFit="1" customWidth="1"/>
    <col min="5128" max="5128" width="4.5703125" style="7" bestFit="1" customWidth="1"/>
    <col min="5129" max="5129" width="8.28515625" style="7" bestFit="1" customWidth="1"/>
    <col min="5130" max="5130" width="12" style="7" bestFit="1" customWidth="1"/>
    <col min="5131" max="5131" width="5.42578125" style="7" customWidth="1"/>
    <col min="5132" max="5132" width="2.85546875" style="7" bestFit="1" customWidth="1"/>
    <col min="5133" max="5136" width="0" style="7" hidden="1" customWidth="1"/>
    <col min="5137" max="5138" width="3" style="7" bestFit="1" customWidth="1"/>
    <col min="5139" max="5139" width="7.42578125" style="7" bestFit="1" customWidth="1"/>
    <col min="5140" max="5141" width="0" style="7" hidden="1" customWidth="1"/>
    <col min="5142" max="5143" width="3" style="7" bestFit="1" customWidth="1"/>
    <col min="5144" max="5144" width="7.42578125" style="7" bestFit="1" customWidth="1"/>
    <col min="5145" max="5161" width="0" style="7" hidden="1" customWidth="1"/>
    <col min="5162" max="5162" width="11.42578125" style="7" bestFit="1" customWidth="1"/>
    <col min="5163" max="5163" width="12.42578125" style="7" bestFit="1" customWidth="1"/>
    <col min="5164" max="5164" width="9.7109375" style="7" bestFit="1" customWidth="1"/>
    <col min="5165" max="5166" width="3" style="7" bestFit="1" customWidth="1"/>
    <col min="5167" max="5167" width="9.140625" style="7"/>
    <col min="5168" max="5169" width="3" style="7" bestFit="1" customWidth="1"/>
    <col min="5170" max="5376" width="9.140625" style="7"/>
    <col min="5377" max="5377" width="3" style="7" bestFit="1" customWidth="1"/>
    <col min="5378" max="5378" width="19.28515625" style="7" bestFit="1" customWidth="1"/>
    <col min="5379" max="5379" width="11.42578125" style="7" bestFit="1" customWidth="1"/>
    <col min="5380" max="5380" width="13.5703125" style="7" bestFit="1" customWidth="1"/>
    <col min="5381" max="5381" width="9.42578125" style="7" bestFit="1" customWidth="1"/>
    <col min="5382" max="5382" width="3.85546875" style="7" bestFit="1" customWidth="1"/>
    <col min="5383" max="5383" width="6.42578125" style="7" bestFit="1" customWidth="1"/>
    <col min="5384" max="5384" width="4.5703125" style="7" bestFit="1" customWidth="1"/>
    <col min="5385" max="5385" width="8.28515625" style="7" bestFit="1" customWidth="1"/>
    <col min="5386" max="5386" width="12" style="7" bestFit="1" customWidth="1"/>
    <col min="5387" max="5387" width="5.42578125" style="7" customWidth="1"/>
    <col min="5388" max="5388" width="2.85546875" style="7" bestFit="1" customWidth="1"/>
    <col min="5389" max="5392" width="0" style="7" hidden="1" customWidth="1"/>
    <col min="5393" max="5394" width="3" style="7" bestFit="1" customWidth="1"/>
    <col min="5395" max="5395" width="7.42578125" style="7" bestFit="1" customWidth="1"/>
    <col min="5396" max="5397" width="0" style="7" hidden="1" customWidth="1"/>
    <col min="5398" max="5399" width="3" style="7" bestFit="1" customWidth="1"/>
    <col min="5400" max="5400" width="7.42578125" style="7" bestFit="1" customWidth="1"/>
    <col min="5401" max="5417" width="0" style="7" hidden="1" customWidth="1"/>
    <col min="5418" max="5418" width="11.42578125" style="7" bestFit="1" customWidth="1"/>
    <col min="5419" max="5419" width="12.42578125" style="7" bestFit="1" customWidth="1"/>
    <col min="5420" max="5420" width="9.7109375" style="7" bestFit="1" customWidth="1"/>
    <col min="5421" max="5422" width="3" style="7" bestFit="1" customWidth="1"/>
    <col min="5423" max="5423" width="9.140625" style="7"/>
    <col min="5424" max="5425" width="3" style="7" bestFit="1" customWidth="1"/>
    <col min="5426" max="5632" width="9.140625" style="7"/>
    <col min="5633" max="5633" width="3" style="7" bestFit="1" customWidth="1"/>
    <col min="5634" max="5634" width="19.28515625" style="7" bestFit="1" customWidth="1"/>
    <col min="5635" max="5635" width="11.42578125" style="7" bestFit="1" customWidth="1"/>
    <col min="5636" max="5636" width="13.5703125" style="7" bestFit="1" customWidth="1"/>
    <col min="5637" max="5637" width="9.42578125" style="7" bestFit="1" customWidth="1"/>
    <col min="5638" max="5638" width="3.85546875" style="7" bestFit="1" customWidth="1"/>
    <col min="5639" max="5639" width="6.42578125" style="7" bestFit="1" customWidth="1"/>
    <col min="5640" max="5640" width="4.5703125" style="7" bestFit="1" customWidth="1"/>
    <col min="5641" max="5641" width="8.28515625" style="7" bestFit="1" customWidth="1"/>
    <col min="5642" max="5642" width="12" style="7" bestFit="1" customWidth="1"/>
    <col min="5643" max="5643" width="5.42578125" style="7" customWidth="1"/>
    <col min="5644" max="5644" width="2.85546875" style="7" bestFit="1" customWidth="1"/>
    <col min="5645" max="5648" width="0" style="7" hidden="1" customWidth="1"/>
    <col min="5649" max="5650" width="3" style="7" bestFit="1" customWidth="1"/>
    <col min="5651" max="5651" width="7.42578125" style="7" bestFit="1" customWidth="1"/>
    <col min="5652" max="5653" width="0" style="7" hidden="1" customWidth="1"/>
    <col min="5654" max="5655" width="3" style="7" bestFit="1" customWidth="1"/>
    <col min="5656" max="5656" width="7.42578125" style="7" bestFit="1" customWidth="1"/>
    <col min="5657" max="5673" width="0" style="7" hidden="1" customWidth="1"/>
    <col min="5674" max="5674" width="11.42578125" style="7" bestFit="1" customWidth="1"/>
    <col min="5675" max="5675" width="12.42578125" style="7" bestFit="1" customWidth="1"/>
    <col min="5676" max="5676" width="9.7109375" style="7" bestFit="1" customWidth="1"/>
    <col min="5677" max="5678" width="3" style="7" bestFit="1" customWidth="1"/>
    <col min="5679" max="5679" width="9.140625" style="7"/>
    <col min="5680" max="5681" width="3" style="7" bestFit="1" customWidth="1"/>
    <col min="5682" max="5888" width="9.140625" style="7"/>
    <col min="5889" max="5889" width="3" style="7" bestFit="1" customWidth="1"/>
    <col min="5890" max="5890" width="19.28515625" style="7" bestFit="1" customWidth="1"/>
    <col min="5891" max="5891" width="11.42578125" style="7" bestFit="1" customWidth="1"/>
    <col min="5892" max="5892" width="13.5703125" style="7" bestFit="1" customWidth="1"/>
    <col min="5893" max="5893" width="9.42578125" style="7" bestFit="1" customWidth="1"/>
    <col min="5894" max="5894" width="3.85546875" style="7" bestFit="1" customWidth="1"/>
    <col min="5895" max="5895" width="6.42578125" style="7" bestFit="1" customWidth="1"/>
    <col min="5896" max="5896" width="4.5703125" style="7" bestFit="1" customWidth="1"/>
    <col min="5897" max="5897" width="8.28515625" style="7" bestFit="1" customWidth="1"/>
    <col min="5898" max="5898" width="12" style="7" bestFit="1" customWidth="1"/>
    <col min="5899" max="5899" width="5.42578125" style="7" customWidth="1"/>
    <col min="5900" max="5900" width="2.85546875" style="7" bestFit="1" customWidth="1"/>
    <col min="5901" max="5904" width="0" style="7" hidden="1" customWidth="1"/>
    <col min="5905" max="5906" width="3" style="7" bestFit="1" customWidth="1"/>
    <col min="5907" max="5907" width="7.42578125" style="7" bestFit="1" customWidth="1"/>
    <col min="5908" max="5909" width="0" style="7" hidden="1" customWidth="1"/>
    <col min="5910" max="5911" width="3" style="7" bestFit="1" customWidth="1"/>
    <col min="5912" max="5912" width="7.42578125" style="7" bestFit="1" customWidth="1"/>
    <col min="5913" max="5929" width="0" style="7" hidden="1" customWidth="1"/>
    <col min="5930" max="5930" width="11.42578125" style="7" bestFit="1" customWidth="1"/>
    <col min="5931" max="5931" width="12.42578125" style="7" bestFit="1" customWidth="1"/>
    <col min="5932" max="5932" width="9.7109375" style="7" bestFit="1" customWidth="1"/>
    <col min="5933" max="5934" width="3" style="7" bestFit="1" customWidth="1"/>
    <col min="5935" max="5935" width="9.140625" style="7"/>
    <col min="5936" max="5937" width="3" style="7" bestFit="1" customWidth="1"/>
    <col min="5938" max="6144" width="9.140625" style="7"/>
    <col min="6145" max="6145" width="3" style="7" bestFit="1" customWidth="1"/>
    <col min="6146" max="6146" width="19.28515625" style="7" bestFit="1" customWidth="1"/>
    <col min="6147" max="6147" width="11.42578125" style="7" bestFit="1" customWidth="1"/>
    <col min="6148" max="6148" width="13.5703125" style="7" bestFit="1" customWidth="1"/>
    <col min="6149" max="6149" width="9.42578125" style="7" bestFit="1" customWidth="1"/>
    <col min="6150" max="6150" width="3.85546875" style="7" bestFit="1" customWidth="1"/>
    <col min="6151" max="6151" width="6.42578125" style="7" bestFit="1" customWidth="1"/>
    <col min="6152" max="6152" width="4.5703125" style="7" bestFit="1" customWidth="1"/>
    <col min="6153" max="6153" width="8.28515625" style="7" bestFit="1" customWidth="1"/>
    <col min="6154" max="6154" width="12" style="7" bestFit="1" customWidth="1"/>
    <col min="6155" max="6155" width="5.42578125" style="7" customWidth="1"/>
    <col min="6156" max="6156" width="2.85546875" style="7" bestFit="1" customWidth="1"/>
    <col min="6157" max="6160" width="0" style="7" hidden="1" customWidth="1"/>
    <col min="6161" max="6162" width="3" style="7" bestFit="1" customWidth="1"/>
    <col min="6163" max="6163" width="7.42578125" style="7" bestFit="1" customWidth="1"/>
    <col min="6164" max="6165" width="0" style="7" hidden="1" customWidth="1"/>
    <col min="6166" max="6167" width="3" style="7" bestFit="1" customWidth="1"/>
    <col min="6168" max="6168" width="7.42578125" style="7" bestFit="1" customWidth="1"/>
    <col min="6169" max="6185" width="0" style="7" hidden="1" customWidth="1"/>
    <col min="6186" max="6186" width="11.42578125" style="7" bestFit="1" customWidth="1"/>
    <col min="6187" max="6187" width="12.42578125" style="7" bestFit="1" customWidth="1"/>
    <col min="6188" max="6188" width="9.7109375" style="7" bestFit="1" customWidth="1"/>
    <col min="6189" max="6190" width="3" style="7" bestFit="1" customWidth="1"/>
    <col min="6191" max="6191" width="9.140625" style="7"/>
    <col min="6192" max="6193" width="3" style="7" bestFit="1" customWidth="1"/>
    <col min="6194" max="6400" width="9.140625" style="7"/>
    <col min="6401" max="6401" width="3" style="7" bestFit="1" customWidth="1"/>
    <col min="6402" max="6402" width="19.28515625" style="7" bestFit="1" customWidth="1"/>
    <col min="6403" max="6403" width="11.42578125" style="7" bestFit="1" customWidth="1"/>
    <col min="6404" max="6404" width="13.5703125" style="7" bestFit="1" customWidth="1"/>
    <col min="6405" max="6405" width="9.42578125" style="7" bestFit="1" customWidth="1"/>
    <col min="6406" max="6406" width="3.85546875" style="7" bestFit="1" customWidth="1"/>
    <col min="6407" max="6407" width="6.42578125" style="7" bestFit="1" customWidth="1"/>
    <col min="6408" max="6408" width="4.5703125" style="7" bestFit="1" customWidth="1"/>
    <col min="6409" max="6409" width="8.28515625" style="7" bestFit="1" customWidth="1"/>
    <col min="6410" max="6410" width="12" style="7" bestFit="1" customWidth="1"/>
    <col min="6411" max="6411" width="5.42578125" style="7" customWidth="1"/>
    <col min="6412" max="6412" width="2.85546875" style="7" bestFit="1" customWidth="1"/>
    <col min="6413" max="6416" width="0" style="7" hidden="1" customWidth="1"/>
    <col min="6417" max="6418" width="3" style="7" bestFit="1" customWidth="1"/>
    <col min="6419" max="6419" width="7.42578125" style="7" bestFit="1" customWidth="1"/>
    <col min="6420" max="6421" width="0" style="7" hidden="1" customWidth="1"/>
    <col min="6422" max="6423" width="3" style="7" bestFit="1" customWidth="1"/>
    <col min="6424" max="6424" width="7.42578125" style="7" bestFit="1" customWidth="1"/>
    <col min="6425" max="6441" width="0" style="7" hidden="1" customWidth="1"/>
    <col min="6442" max="6442" width="11.42578125" style="7" bestFit="1" customWidth="1"/>
    <col min="6443" max="6443" width="12.42578125" style="7" bestFit="1" customWidth="1"/>
    <col min="6444" max="6444" width="9.7109375" style="7" bestFit="1" customWidth="1"/>
    <col min="6445" max="6446" width="3" style="7" bestFit="1" customWidth="1"/>
    <col min="6447" max="6447" width="9.140625" style="7"/>
    <col min="6448" max="6449" width="3" style="7" bestFit="1" customWidth="1"/>
    <col min="6450" max="6656" width="9.140625" style="7"/>
    <col min="6657" max="6657" width="3" style="7" bestFit="1" customWidth="1"/>
    <col min="6658" max="6658" width="19.28515625" style="7" bestFit="1" customWidth="1"/>
    <col min="6659" max="6659" width="11.42578125" style="7" bestFit="1" customWidth="1"/>
    <col min="6660" max="6660" width="13.5703125" style="7" bestFit="1" customWidth="1"/>
    <col min="6661" max="6661" width="9.42578125" style="7" bestFit="1" customWidth="1"/>
    <col min="6662" max="6662" width="3.85546875" style="7" bestFit="1" customWidth="1"/>
    <col min="6663" max="6663" width="6.42578125" style="7" bestFit="1" customWidth="1"/>
    <col min="6664" max="6664" width="4.5703125" style="7" bestFit="1" customWidth="1"/>
    <col min="6665" max="6665" width="8.28515625" style="7" bestFit="1" customWidth="1"/>
    <col min="6666" max="6666" width="12" style="7" bestFit="1" customWidth="1"/>
    <col min="6667" max="6667" width="5.42578125" style="7" customWidth="1"/>
    <col min="6668" max="6668" width="2.85546875" style="7" bestFit="1" customWidth="1"/>
    <col min="6669" max="6672" width="0" style="7" hidden="1" customWidth="1"/>
    <col min="6673" max="6674" width="3" style="7" bestFit="1" customWidth="1"/>
    <col min="6675" max="6675" width="7.42578125" style="7" bestFit="1" customWidth="1"/>
    <col min="6676" max="6677" width="0" style="7" hidden="1" customWidth="1"/>
    <col min="6678" max="6679" width="3" style="7" bestFit="1" customWidth="1"/>
    <col min="6680" max="6680" width="7.42578125" style="7" bestFit="1" customWidth="1"/>
    <col min="6681" max="6697" width="0" style="7" hidden="1" customWidth="1"/>
    <col min="6698" max="6698" width="11.42578125" style="7" bestFit="1" customWidth="1"/>
    <col min="6699" max="6699" width="12.42578125" style="7" bestFit="1" customWidth="1"/>
    <col min="6700" max="6700" width="9.7109375" style="7" bestFit="1" customWidth="1"/>
    <col min="6701" max="6702" width="3" style="7" bestFit="1" customWidth="1"/>
    <col min="6703" max="6703" width="9.140625" style="7"/>
    <col min="6704" max="6705" width="3" style="7" bestFit="1" customWidth="1"/>
    <col min="6706" max="6912" width="9.140625" style="7"/>
    <col min="6913" max="6913" width="3" style="7" bestFit="1" customWidth="1"/>
    <col min="6914" max="6914" width="19.28515625" style="7" bestFit="1" customWidth="1"/>
    <col min="6915" max="6915" width="11.42578125" style="7" bestFit="1" customWidth="1"/>
    <col min="6916" max="6916" width="13.5703125" style="7" bestFit="1" customWidth="1"/>
    <col min="6917" max="6917" width="9.42578125" style="7" bestFit="1" customWidth="1"/>
    <col min="6918" max="6918" width="3.85546875" style="7" bestFit="1" customWidth="1"/>
    <col min="6919" max="6919" width="6.42578125" style="7" bestFit="1" customWidth="1"/>
    <col min="6920" max="6920" width="4.5703125" style="7" bestFit="1" customWidth="1"/>
    <col min="6921" max="6921" width="8.28515625" style="7" bestFit="1" customWidth="1"/>
    <col min="6922" max="6922" width="12" style="7" bestFit="1" customWidth="1"/>
    <col min="6923" max="6923" width="5.42578125" style="7" customWidth="1"/>
    <col min="6924" max="6924" width="2.85546875" style="7" bestFit="1" customWidth="1"/>
    <col min="6925" max="6928" width="0" style="7" hidden="1" customWidth="1"/>
    <col min="6929" max="6930" width="3" style="7" bestFit="1" customWidth="1"/>
    <col min="6931" max="6931" width="7.42578125" style="7" bestFit="1" customWidth="1"/>
    <col min="6932" max="6933" width="0" style="7" hidden="1" customWidth="1"/>
    <col min="6934" max="6935" width="3" style="7" bestFit="1" customWidth="1"/>
    <col min="6936" max="6936" width="7.42578125" style="7" bestFit="1" customWidth="1"/>
    <col min="6937" max="6953" width="0" style="7" hidden="1" customWidth="1"/>
    <col min="6954" max="6954" width="11.42578125" style="7" bestFit="1" customWidth="1"/>
    <col min="6955" max="6955" width="12.42578125" style="7" bestFit="1" customWidth="1"/>
    <col min="6956" max="6956" width="9.7109375" style="7" bestFit="1" customWidth="1"/>
    <col min="6957" max="6958" width="3" style="7" bestFit="1" customWidth="1"/>
    <col min="6959" max="6959" width="9.140625" style="7"/>
    <col min="6960" max="6961" width="3" style="7" bestFit="1" customWidth="1"/>
    <col min="6962" max="7168" width="9.140625" style="7"/>
    <col min="7169" max="7169" width="3" style="7" bestFit="1" customWidth="1"/>
    <col min="7170" max="7170" width="19.28515625" style="7" bestFit="1" customWidth="1"/>
    <col min="7171" max="7171" width="11.42578125" style="7" bestFit="1" customWidth="1"/>
    <col min="7172" max="7172" width="13.5703125" style="7" bestFit="1" customWidth="1"/>
    <col min="7173" max="7173" width="9.42578125" style="7" bestFit="1" customWidth="1"/>
    <col min="7174" max="7174" width="3.85546875" style="7" bestFit="1" customWidth="1"/>
    <col min="7175" max="7175" width="6.42578125" style="7" bestFit="1" customWidth="1"/>
    <col min="7176" max="7176" width="4.5703125" style="7" bestFit="1" customWidth="1"/>
    <col min="7177" max="7177" width="8.28515625" style="7" bestFit="1" customWidth="1"/>
    <col min="7178" max="7178" width="12" style="7" bestFit="1" customWidth="1"/>
    <col min="7179" max="7179" width="5.42578125" style="7" customWidth="1"/>
    <col min="7180" max="7180" width="2.85546875" style="7" bestFit="1" customWidth="1"/>
    <col min="7181" max="7184" width="0" style="7" hidden="1" customWidth="1"/>
    <col min="7185" max="7186" width="3" style="7" bestFit="1" customWidth="1"/>
    <col min="7187" max="7187" width="7.42578125" style="7" bestFit="1" customWidth="1"/>
    <col min="7188" max="7189" width="0" style="7" hidden="1" customWidth="1"/>
    <col min="7190" max="7191" width="3" style="7" bestFit="1" customWidth="1"/>
    <col min="7192" max="7192" width="7.42578125" style="7" bestFit="1" customWidth="1"/>
    <col min="7193" max="7209" width="0" style="7" hidden="1" customWidth="1"/>
    <col min="7210" max="7210" width="11.42578125" style="7" bestFit="1" customWidth="1"/>
    <col min="7211" max="7211" width="12.42578125" style="7" bestFit="1" customWidth="1"/>
    <col min="7212" max="7212" width="9.7109375" style="7" bestFit="1" customWidth="1"/>
    <col min="7213" max="7214" width="3" style="7" bestFit="1" customWidth="1"/>
    <col min="7215" max="7215" width="9.140625" style="7"/>
    <col min="7216" max="7217" width="3" style="7" bestFit="1" customWidth="1"/>
    <col min="7218" max="7424" width="9.140625" style="7"/>
    <col min="7425" max="7425" width="3" style="7" bestFit="1" customWidth="1"/>
    <col min="7426" max="7426" width="19.28515625" style="7" bestFit="1" customWidth="1"/>
    <col min="7427" max="7427" width="11.42578125" style="7" bestFit="1" customWidth="1"/>
    <col min="7428" max="7428" width="13.5703125" style="7" bestFit="1" customWidth="1"/>
    <col min="7429" max="7429" width="9.42578125" style="7" bestFit="1" customWidth="1"/>
    <col min="7430" max="7430" width="3.85546875" style="7" bestFit="1" customWidth="1"/>
    <col min="7431" max="7431" width="6.42578125" style="7" bestFit="1" customWidth="1"/>
    <col min="7432" max="7432" width="4.5703125" style="7" bestFit="1" customWidth="1"/>
    <col min="7433" max="7433" width="8.28515625" style="7" bestFit="1" customWidth="1"/>
    <col min="7434" max="7434" width="12" style="7" bestFit="1" customWidth="1"/>
    <col min="7435" max="7435" width="5.42578125" style="7" customWidth="1"/>
    <col min="7436" max="7436" width="2.85546875" style="7" bestFit="1" customWidth="1"/>
    <col min="7437" max="7440" width="0" style="7" hidden="1" customWidth="1"/>
    <col min="7441" max="7442" width="3" style="7" bestFit="1" customWidth="1"/>
    <col min="7443" max="7443" width="7.42578125" style="7" bestFit="1" customWidth="1"/>
    <col min="7444" max="7445" width="0" style="7" hidden="1" customWidth="1"/>
    <col min="7446" max="7447" width="3" style="7" bestFit="1" customWidth="1"/>
    <col min="7448" max="7448" width="7.42578125" style="7" bestFit="1" customWidth="1"/>
    <col min="7449" max="7465" width="0" style="7" hidden="1" customWidth="1"/>
    <col min="7466" max="7466" width="11.42578125" style="7" bestFit="1" customWidth="1"/>
    <col min="7467" max="7467" width="12.42578125" style="7" bestFit="1" customWidth="1"/>
    <col min="7468" max="7468" width="9.7109375" style="7" bestFit="1" customWidth="1"/>
    <col min="7469" max="7470" width="3" style="7" bestFit="1" customWidth="1"/>
    <col min="7471" max="7471" width="9.140625" style="7"/>
    <col min="7472" max="7473" width="3" style="7" bestFit="1" customWidth="1"/>
    <col min="7474" max="7680" width="9.140625" style="7"/>
    <col min="7681" max="7681" width="3" style="7" bestFit="1" customWidth="1"/>
    <col min="7682" max="7682" width="19.28515625" style="7" bestFit="1" customWidth="1"/>
    <col min="7683" max="7683" width="11.42578125" style="7" bestFit="1" customWidth="1"/>
    <col min="7684" max="7684" width="13.5703125" style="7" bestFit="1" customWidth="1"/>
    <col min="7685" max="7685" width="9.42578125" style="7" bestFit="1" customWidth="1"/>
    <col min="7686" max="7686" width="3.85546875" style="7" bestFit="1" customWidth="1"/>
    <col min="7687" max="7687" width="6.42578125" style="7" bestFit="1" customWidth="1"/>
    <col min="7688" max="7688" width="4.5703125" style="7" bestFit="1" customWidth="1"/>
    <col min="7689" max="7689" width="8.28515625" style="7" bestFit="1" customWidth="1"/>
    <col min="7690" max="7690" width="12" style="7" bestFit="1" customWidth="1"/>
    <col min="7691" max="7691" width="5.42578125" style="7" customWidth="1"/>
    <col min="7692" max="7692" width="2.85546875" style="7" bestFit="1" customWidth="1"/>
    <col min="7693" max="7696" width="0" style="7" hidden="1" customWidth="1"/>
    <col min="7697" max="7698" width="3" style="7" bestFit="1" customWidth="1"/>
    <col min="7699" max="7699" width="7.42578125" style="7" bestFit="1" customWidth="1"/>
    <col min="7700" max="7701" width="0" style="7" hidden="1" customWidth="1"/>
    <col min="7702" max="7703" width="3" style="7" bestFit="1" customWidth="1"/>
    <col min="7704" max="7704" width="7.42578125" style="7" bestFit="1" customWidth="1"/>
    <col min="7705" max="7721" width="0" style="7" hidden="1" customWidth="1"/>
    <col min="7722" max="7722" width="11.42578125" style="7" bestFit="1" customWidth="1"/>
    <col min="7723" max="7723" width="12.42578125" style="7" bestFit="1" customWidth="1"/>
    <col min="7724" max="7724" width="9.7109375" style="7" bestFit="1" customWidth="1"/>
    <col min="7725" max="7726" width="3" style="7" bestFit="1" customWidth="1"/>
    <col min="7727" max="7727" width="9.140625" style="7"/>
    <col min="7728" max="7729" width="3" style="7" bestFit="1" customWidth="1"/>
    <col min="7730" max="7936" width="9.140625" style="7"/>
    <col min="7937" max="7937" width="3" style="7" bestFit="1" customWidth="1"/>
    <col min="7938" max="7938" width="19.28515625" style="7" bestFit="1" customWidth="1"/>
    <col min="7939" max="7939" width="11.42578125" style="7" bestFit="1" customWidth="1"/>
    <col min="7940" max="7940" width="13.5703125" style="7" bestFit="1" customWidth="1"/>
    <col min="7941" max="7941" width="9.42578125" style="7" bestFit="1" customWidth="1"/>
    <col min="7942" max="7942" width="3.85546875" style="7" bestFit="1" customWidth="1"/>
    <col min="7943" max="7943" width="6.42578125" style="7" bestFit="1" customWidth="1"/>
    <col min="7944" max="7944" width="4.5703125" style="7" bestFit="1" customWidth="1"/>
    <col min="7945" max="7945" width="8.28515625" style="7" bestFit="1" customWidth="1"/>
    <col min="7946" max="7946" width="12" style="7" bestFit="1" customWidth="1"/>
    <col min="7947" max="7947" width="5.42578125" style="7" customWidth="1"/>
    <col min="7948" max="7948" width="2.85546875" style="7" bestFit="1" customWidth="1"/>
    <col min="7949" max="7952" width="0" style="7" hidden="1" customWidth="1"/>
    <col min="7953" max="7954" width="3" style="7" bestFit="1" customWidth="1"/>
    <col min="7955" max="7955" width="7.42578125" style="7" bestFit="1" customWidth="1"/>
    <col min="7956" max="7957" width="0" style="7" hidden="1" customWidth="1"/>
    <col min="7958" max="7959" width="3" style="7" bestFit="1" customWidth="1"/>
    <col min="7960" max="7960" width="7.42578125" style="7" bestFit="1" customWidth="1"/>
    <col min="7961" max="7977" width="0" style="7" hidden="1" customWidth="1"/>
    <col min="7978" max="7978" width="11.42578125" style="7" bestFit="1" customWidth="1"/>
    <col min="7979" max="7979" width="12.42578125" style="7" bestFit="1" customWidth="1"/>
    <col min="7980" max="7980" width="9.7109375" style="7" bestFit="1" customWidth="1"/>
    <col min="7981" max="7982" width="3" style="7" bestFit="1" customWidth="1"/>
    <col min="7983" max="7983" width="9.140625" style="7"/>
    <col min="7984" max="7985" width="3" style="7" bestFit="1" customWidth="1"/>
    <col min="7986" max="8192" width="9.140625" style="7"/>
    <col min="8193" max="8193" width="3" style="7" bestFit="1" customWidth="1"/>
    <col min="8194" max="8194" width="19.28515625" style="7" bestFit="1" customWidth="1"/>
    <col min="8195" max="8195" width="11.42578125" style="7" bestFit="1" customWidth="1"/>
    <col min="8196" max="8196" width="13.5703125" style="7" bestFit="1" customWidth="1"/>
    <col min="8197" max="8197" width="9.42578125" style="7" bestFit="1" customWidth="1"/>
    <col min="8198" max="8198" width="3.85546875" style="7" bestFit="1" customWidth="1"/>
    <col min="8199" max="8199" width="6.42578125" style="7" bestFit="1" customWidth="1"/>
    <col min="8200" max="8200" width="4.5703125" style="7" bestFit="1" customWidth="1"/>
    <col min="8201" max="8201" width="8.28515625" style="7" bestFit="1" customWidth="1"/>
    <col min="8202" max="8202" width="12" style="7" bestFit="1" customWidth="1"/>
    <col min="8203" max="8203" width="5.42578125" style="7" customWidth="1"/>
    <col min="8204" max="8204" width="2.85546875" style="7" bestFit="1" customWidth="1"/>
    <col min="8205" max="8208" width="0" style="7" hidden="1" customWidth="1"/>
    <col min="8209" max="8210" width="3" style="7" bestFit="1" customWidth="1"/>
    <col min="8211" max="8211" width="7.42578125" style="7" bestFit="1" customWidth="1"/>
    <col min="8212" max="8213" width="0" style="7" hidden="1" customWidth="1"/>
    <col min="8214" max="8215" width="3" style="7" bestFit="1" customWidth="1"/>
    <col min="8216" max="8216" width="7.42578125" style="7" bestFit="1" customWidth="1"/>
    <col min="8217" max="8233" width="0" style="7" hidden="1" customWidth="1"/>
    <col min="8234" max="8234" width="11.42578125" style="7" bestFit="1" customWidth="1"/>
    <col min="8235" max="8235" width="12.42578125" style="7" bestFit="1" customWidth="1"/>
    <col min="8236" max="8236" width="9.7109375" style="7" bestFit="1" customWidth="1"/>
    <col min="8237" max="8238" width="3" style="7" bestFit="1" customWidth="1"/>
    <col min="8239" max="8239" width="9.140625" style="7"/>
    <col min="8240" max="8241" width="3" style="7" bestFit="1" customWidth="1"/>
    <col min="8242" max="8448" width="9.140625" style="7"/>
    <col min="8449" max="8449" width="3" style="7" bestFit="1" customWidth="1"/>
    <col min="8450" max="8450" width="19.28515625" style="7" bestFit="1" customWidth="1"/>
    <col min="8451" max="8451" width="11.42578125" style="7" bestFit="1" customWidth="1"/>
    <col min="8452" max="8452" width="13.5703125" style="7" bestFit="1" customWidth="1"/>
    <col min="8453" max="8453" width="9.42578125" style="7" bestFit="1" customWidth="1"/>
    <col min="8454" max="8454" width="3.85546875" style="7" bestFit="1" customWidth="1"/>
    <col min="8455" max="8455" width="6.42578125" style="7" bestFit="1" customWidth="1"/>
    <col min="8456" max="8456" width="4.5703125" style="7" bestFit="1" customWidth="1"/>
    <col min="8457" max="8457" width="8.28515625" style="7" bestFit="1" customWidth="1"/>
    <col min="8458" max="8458" width="12" style="7" bestFit="1" customWidth="1"/>
    <col min="8459" max="8459" width="5.42578125" style="7" customWidth="1"/>
    <col min="8460" max="8460" width="2.85546875" style="7" bestFit="1" customWidth="1"/>
    <col min="8461" max="8464" width="0" style="7" hidden="1" customWidth="1"/>
    <col min="8465" max="8466" width="3" style="7" bestFit="1" customWidth="1"/>
    <col min="8467" max="8467" width="7.42578125" style="7" bestFit="1" customWidth="1"/>
    <col min="8468" max="8469" width="0" style="7" hidden="1" customWidth="1"/>
    <col min="8470" max="8471" width="3" style="7" bestFit="1" customWidth="1"/>
    <col min="8472" max="8472" width="7.42578125" style="7" bestFit="1" customWidth="1"/>
    <col min="8473" max="8489" width="0" style="7" hidden="1" customWidth="1"/>
    <col min="8490" max="8490" width="11.42578125" style="7" bestFit="1" customWidth="1"/>
    <col min="8491" max="8491" width="12.42578125" style="7" bestFit="1" customWidth="1"/>
    <col min="8492" max="8492" width="9.7109375" style="7" bestFit="1" customWidth="1"/>
    <col min="8493" max="8494" width="3" style="7" bestFit="1" customWidth="1"/>
    <col min="8495" max="8495" width="9.140625" style="7"/>
    <col min="8496" max="8497" width="3" style="7" bestFit="1" customWidth="1"/>
    <col min="8498" max="8704" width="9.140625" style="7"/>
    <col min="8705" max="8705" width="3" style="7" bestFit="1" customWidth="1"/>
    <col min="8706" max="8706" width="19.28515625" style="7" bestFit="1" customWidth="1"/>
    <col min="8707" max="8707" width="11.42578125" style="7" bestFit="1" customWidth="1"/>
    <col min="8708" max="8708" width="13.5703125" style="7" bestFit="1" customWidth="1"/>
    <col min="8709" max="8709" width="9.42578125" style="7" bestFit="1" customWidth="1"/>
    <col min="8710" max="8710" width="3.85546875" style="7" bestFit="1" customWidth="1"/>
    <col min="8711" max="8711" width="6.42578125" style="7" bestFit="1" customWidth="1"/>
    <col min="8712" max="8712" width="4.5703125" style="7" bestFit="1" customWidth="1"/>
    <col min="8713" max="8713" width="8.28515625" style="7" bestFit="1" customWidth="1"/>
    <col min="8714" max="8714" width="12" style="7" bestFit="1" customWidth="1"/>
    <col min="8715" max="8715" width="5.42578125" style="7" customWidth="1"/>
    <col min="8716" max="8716" width="2.85546875" style="7" bestFit="1" customWidth="1"/>
    <col min="8717" max="8720" width="0" style="7" hidden="1" customWidth="1"/>
    <col min="8721" max="8722" width="3" style="7" bestFit="1" customWidth="1"/>
    <col min="8723" max="8723" width="7.42578125" style="7" bestFit="1" customWidth="1"/>
    <col min="8724" max="8725" width="0" style="7" hidden="1" customWidth="1"/>
    <col min="8726" max="8727" width="3" style="7" bestFit="1" customWidth="1"/>
    <col min="8728" max="8728" width="7.42578125" style="7" bestFit="1" customWidth="1"/>
    <col min="8729" max="8745" width="0" style="7" hidden="1" customWidth="1"/>
    <col min="8746" max="8746" width="11.42578125" style="7" bestFit="1" customWidth="1"/>
    <col min="8747" max="8747" width="12.42578125" style="7" bestFit="1" customWidth="1"/>
    <col min="8748" max="8748" width="9.7109375" style="7" bestFit="1" customWidth="1"/>
    <col min="8749" max="8750" width="3" style="7" bestFit="1" customWidth="1"/>
    <col min="8751" max="8751" width="9.140625" style="7"/>
    <col min="8752" max="8753" width="3" style="7" bestFit="1" customWidth="1"/>
    <col min="8754" max="8960" width="9.140625" style="7"/>
    <col min="8961" max="8961" width="3" style="7" bestFit="1" customWidth="1"/>
    <col min="8962" max="8962" width="19.28515625" style="7" bestFit="1" customWidth="1"/>
    <col min="8963" max="8963" width="11.42578125" style="7" bestFit="1" customWidth="1"/>
    <col min="8964" max="8964" width="13.5703125" style="7" bestFit="1" customWidth="1"/>
    <col min="8965" max="8965" width="9.42578125" style="7" bestFit="1" customWidth="1"/>
    <col min="8966" max="8966" width="3.85546875" style="7" bestFit="1" customWidth="1"/>
    <col min="8967" max="8967" width="6.42578125" style="7" bestFit="1" customWidth="1"/>
    <col min="8968" max="8968" width="4.5703125" style="7" bestFit="1" customWidth="1"/>
    <col min="8969" max="8969" width="8.28515625" style="7" bestFit="1" customWidth="1"/>
    <col min="8970" max="8970" width="12" style="7" bestFit="1" customWidth="1"/>
    <col min="8971" max="8971" width="5.42578125" style="7" customWidth="1"/>
    <col min="8972" max="8972" width="2.85546875" style="7" bestFit="1" customWidth="1"/>
    <col min="8973" max="8976" width="0" style="7" hidden="1" customWidth="1"/>
    <col min="8977" max="8978" width="3" style="7" bestFit="1" customWidth="1"/>
    <col min="8979" max="8979" width="7.42578125" style="7" bestFit="1" customWidth="1"/>
    <col min="8980" max="8981" width="0" style="7" hidden="1" customWidth="1"/>
    <col min="8982" max="8983" width="3" style="7" bestFit="1" customWidth="1"/>
    <col min="8984" max="8984" width="7.42578125" style="7" bestFit="1" customWidth="1"/>
    <col min="8985" max="9001" width="0" style="7" hidden="1" customWidth="1"/>
    <col min="9002" max="9002" width="11.42578125" style="7" bestFit="1" customWidth="1"/>
    <col min="9003" max="9003" width="12.42578125" style="7" bestFit="1" customWidth="1"/>
    <col min="9004" max="9004" width="9.7109375" style="7" bestFit="1" customWidth="1"/>
    <col min="9005" max="9006" width="3" style="7" bestFit="1" customWidth="1"/>
    <col min="9007" max="9007" width="9.140625" style="7"/>
    <col min="9008" max="9009" width="3" style="7" bestFit="1" customWidth="1"/>
    <col min="9010" max="9216" width="9.140625" style="7"/>
    <col min="9217" max="9217" width="3" style="7" bestFit="1" customWidth="1"/>
    <col min="9218" max="9218" width="19.28515625" style="7" bestFit="1" customWidth="1"/>
    <col min="9219" max="9219" width="11.42578125" style="7" bestFit="1" customWidth="1"/>
    <col min="9220" max="9220" width="13.5703125" style="7" bestFit="1" customWidth="1"/>
    <col min="9221" max="9221" width="9.42578125" style="7" bestFit="1" customWidth="1"/>
    <col min="9222" max="9222" width="3.85546875" style="7" bestFit="1" customWidth="1"/>
    <col min="9223" max="9223" width="6.42578125" style="7" bestFit="1" customWidth="1"/>
    <col min="9224" max="9224" width="4.5703125" style="7" bestFit="1" customWidth="1"/>
    <col min="9225" max="9225" width="8.28515625" style="7" bestFit="1" customWidth="1"/>
    <col min="9226" max="9226" width="12" style="7" bestFit="1" customWidth="1"/>
    <col min="9227" max="9227" width="5.42578125" style="7" customWidth="1"/>
    <col min="9228" max="9228" width="2.85546875" style="7" bestFit="1" customWidth="1"/>
    <col min="9229" max="9232" width="0" style="7" hidden="1" customWidth="1"/>
    <col min="9233" max="9234" width="3" style="7" bestFit="1" customWidth="1"/>
    <col min="9235" max="9235" width="7.42578125" style="7" bestFit="1" customWidth="1"/>
    <col min="9236" max="9237" width="0" style="7" hidden="1" customWidth="1"/>
    <col min="9238" max="9239" width="3" style="7" bestFit="1" customWidth="1"/>
    <col min="9240" max="9240" width="7.42578125" style="7" bestFit="1" customWidth="1"/>
    <col min="9241" max="9257" width="0" style="7" hidden="1" customWidth="1"/>
    <col min="9258" max="9258" width="11.42578125" style="7" bestFit="1" customWidth="1"/>
    <col min="9259" max="9259" width="12.42578125" style="7" bestFit="1" customWidth="1"/>
    <col min="9260" max="9260" width="9.7109375" style="7" bestFit="1" customWidth="1"/>
    <col min="9261" max="9262" width="3" style="7" bestFit="1" customWidth="1"/>
    <col min="9263" max="9263" width="9.140625" style="7"/>
    <col min="9264" max="9265" width="3" style="7" bestFit="1" customWidth="1"/>
    <col min="9266" max="9472" width="9.140625" style="7"/>
    <col min="9473" max="9473" width="3" style="7" bestFit="1" customWidth="1"/>
    <col min="9474" max="9474" width="19.28515625" style="7" bestFit="1" customWidth="1"/>
    <col min="9475" max="9475" width="11.42578125" style="7" bestFit="1" customWidth="1"/>
    <col min="9476" max="9476" width="13.5703125" style="7" bestFit="1" customWidth="1"/>
    <col min="9477" max="9477" width="9.42578125" style="7" bestFit="1" customWidth="1"/>
    <col min="9478" max="9478" width="3.85546875" style="7" bestFit="1" customWidth="1"/>
    <col min="9479" max="9479" width="6.42578125" style="7" bestFit="1" customWidth="1"/>
    <col min="9480" max="9480" width="4.5703125" style="7" bestFit="1" customWidth="1"/>
    <col min="9481" max="9481" width="8.28515625" style="7" bestFit="1" customWidth="1"/>
    <col min="9482" max="9482" width="12" style="7" bestFit="1" customWidth="1"/>
    <col min="9483" max="9483" width="5.42578125" style="7" customWidth="1"/>
    <col min="9484" max="9484" width="2.85546875" style="7" bestFit="1" customWidth="1"/>
    <col min="9485" max="9488" width="0" style="7" hidden="1" customWidth="1"/>
    <col min="9489" max="9490" width="3" style="7" bestFit="1" customWidth="1"/>
    <col min="9491" max="9491" width="7.42578125" style="7" bestFit="1" customWidth="1"/>
    <col min="9492" max="9493" width="0" style="7" hidden="1" customWidth="1"/>
    <col min="9494" max="9495" width="3" style="7" bestFit="1" customWidth="1"/>
    <col min="9496" max="9496" width="7.42578125" style="7" bestFit="1" customWidth="1"/>
    <col min="9497" max="9513" width="0" style="7" hidden="1" customWidth="1"/>
    <col min="9514" max="9514" width="11.42578125" style="7" bestFit="1" customWidth="1"/>
    <col min="9515" max="9515" width="12.42578125" style="7" bestFit="1" customWidth="1"/>
    <col min="9516" max="9516" width="9.7109375" style="7" bestFit="1" customWidth="1"/>
    <col min="9517" max="9518" width="3" style="7" bestFit="1" customWidth="1"/>
    <col min="9519" max="9519" width="9.140625" style="7"/>
    <col min="9520" max="9521" width="3" style="7" bestFit="1" customWidth="1"/>
    <col min="9522" max="9728" width="9.140625" style="7"/>
    <col min="9729" max="9729" width="3" style="7" bestFit="1" customWidth="1"/>
    <col min="9730" max="9730" width="19.28515625" style="7" bestFit="1" customWidth="1"/>
    <col min="9731" max="9731" width="11.42578125" style="7" bestFit="1" customWidth="1"/>
    <col min="9732" max="9732" width="13.5703125" style="7" bestFit="1" customWidth="1"/>
    <col min="9733" max="9733" width="9.42578125" style="7" bestFit="1" customWidth="1"/>
    <col min="9734" max="9734" width="3.85546875" style="7" bestFit="1" customWidth="1"/>
    <col min="9735" max="9735" width="6.42578125" style="7" bestFit="1" customWidth="1"/>
    <col min="9736" max="9736" width="4.5703125" style="7" bestFit="1" customWidth="1"/>
    <col min="9737" max="9737" width="8.28515625" style="7" bestFit="1" customWidth="1"/>
    <col min="9738" max="9738" width="12" style="7" bestFit="1" customWidth="1"/>
    <col min="9739" max="9739" width="5.42578125" style="7" customWidth="1"/>
    <col min="9740" max="9740" width="2.85546875" style="7" bestFit="1" customWidth="1"/>
    <col min="9741" max="9744" width="0" style="7" hidden="1" customWidth="1"/>
    <col min="9745" max="9746" width="3" style="7" bestFit="1" customWidth="1"/>
    <col min="9747" max="9747" width="7.42578125" style="7" bestFit="1" customWidth="1"/>
    <col min="9748" max="9749" width="0" style="7" hidden="1" customWidth="1"/>
    <col min="9750" max="9751" width="3" style="7" bestFit="1" customWidth="1"/>
    <col min="9752" max="9752" width="7.42578125" style="7" bestFit="1" customWidth="1"/>
    <col min="9753" max="9769" width="0" style="7" hidden="1" customWidth="1"/>
    <col min="9770" max="9770" width="11.42578125" style="7" bestFit="1" customWidth="1"/>
    <col min="9771" max="9771" width="12.42578125" style="7" bestFit="1" customWidth="1"/>
    <col min="9772" max="9772" width="9.7109375" style="7" bestFit="1" customWidth="1"/>
    <col min="9773" max="9774" width="3" style="7" bestFit="1" customWidth="1"/>
    <col min="9775" max="9775" width="9.140625" style="7"/>
    <col min="9776" max="9777" width="3" style="7" bestFit="1" customWidth="1"/>
    <col min="9778" max="9984" width="9.140625" style="7"/>
    <col min="9985" max="9985" width="3" style="7" bestFit="1" customWidth="1"/>
    <col min="9986" max="9986" width="19.28515625" style="7" bestFit="1" customWidth="1"/>
    <col min="9987" max="9987" width="11.42578125" style="7" bestFit="1" customWidth="1"/>
    <col min="9988" max="9988" width="13.5703125" style="7" bestFit="1" customWidth="1"/>
    <col min="9989" max="9989" width="9.42578125" style="7" bestFit="1" customWidth="1"/>
    <col min="9990" max="9990" width="3.85546875" style="7" bestFit="1" customWidth="1"/>
    <col min="9991" max="9991" width="6.42578125" style="7" bestFit="1" customWidth="1"/>
    <col min="9992" max="9992" width="4.5703125" style="7" bestFit="1" customWidth="1"/>
    <col min="9993" max="9993" width="8.28515625" style="7" bestFit="1" customWidth="1"/>
    <col min="9994" max="9994" width="12" style="7" bestFit="1" customWidth="1"/>
    <col min="9995" max="9995" width="5.42578125" style="7" customWidth="1"/>
    <col min="9996" max="9996" width="2.85546875" style="7" bestFit="1" customWidth="1"/>
    <col min="9997" max="10000" width="0" style="7" hidden="1" customWidth="1"/>
    <col min="10001" max="10002" width="3" style="7" bestFit="1" customWidth="1"/>
    <col min="10003" max="10003" width="7.42578125" style="7" bestFit="1" customWidth="1"/>
    <col min="10004" max="10005" width="0" style="7" hidden="1" customWidth="1"/>
    <col min="10006" max="10007" width="3" style="7" bestFit="1" customWidth="1"/>
    <col min="10008" max="10008" width="7.42578125" style="7" bestFit="1" customWidth="1"/>
    <col min="10009" max="10025" width="0" style="7" hidden="1" customWidth="1"/>
    <col min="10026" max="10026" width="11.42578125" style="7" bestFit="1" customWidth="1"/>
    <col min="10027" max="10027" width="12.42578125" style="7" bestFit="1" customWidth="1"/>
    <col min="10028" max="10028" width="9.7109375" style="7" bestFit="1" customWidth="1"/>
    <col min="10029" max="10030" width="3" style="7" bestFit="1" customWidth="1"/>
    <col min="10031" max="10031" width="9.140625" style="7"/>
    <col min="10032" max="10033" width="3" style="7" bestFit="1" customWidth="1"/>
    <col min="10034" max="10240" width="9.140625" style="7"/>
    <col min="10241" max="10241" width="3" style="7" bestFit="1" customWidth="1"/>
    <col min="10242" max="10242" width="19.28515625" style="7" bestFit="1" customWidth="1"/>
    <col min="10243" max="10243" width="11.42578125" style="7" bestFit="1" customWidth="1"/>
    <col min="10244" max="10244" width="13.5703125" style="7" bestFit="1" customWidth="1"/>
    <col min="10245" max="10245" width="9.42578125" style="7" bestFit="1" customWidth="1"/>
    <col min="10246" max="10246" width="3.85546875" style="7" bestFit="1" customWidth="1"/>
    <col min="10247" max="10247" width="6.42578125" style="7" bestFit="1" customWidth="1"/>
    <col min="10248" max="10248" width="4.5703125" style="7" bestFit="1" customWidth="1"/>
    <col min="10249" max="10249" width="8.28515625" style="7" bestFit="1" customWidth="1"/>
    <col min="10250" max="10250" width="12" style="7" bestFit="1" customWidth="1"/>
    <col min="10251" max="10251" width="5.42578125" style="7" customWidth="1"/>
    <col min="10252" max="10252" width="2.85546875" style="7" bestFit="1" customWidth="1"/>
    <col min="10253" max="10256" width="0" style="7" hidden="1" customWidth="1"/>
    <col min="10257" max="10258" width="3" style="7" bestFit="1" customWidth="1"/>
    <col min="10259" max="10259" width="7.42578125" style="7" bestFit="1" customWidth="1"/>
    <col min="10260" max="10261" width="0" style="7" hidden="1" customWidth="1"/>
    <col min="10262" max="10263" width="3" style="7" bestFit="1" customWidth="1"/>
    <col min="10264" max="10264" width="7.42578125" style="7" bestFit="1" customWidth="1"/>
    <col min="10265" max="10281" width="0" style="7" hidden="1" customWidth="1"/>
    <col min="10282" max="10282" width="11.42578125" style="7" bestFit="1" customWidth="1"/>
    <col min="10283" max="10283" width="12.42578125" style="7" bestFit="1" customWidth="1"/>
    <col min="10284" max="10284" width="9.7109375" style="7" bestFit="1" customWidth="1"/>
    <col min="10285" max="10286" width="3" style="7" bestFit="1" customWidth="1"/>
    <col min="10287" max="10287" width="9.140625" style="7"/>
    <col min="10288" max="10289" width="3" style="7" bestFit="1" customWidth="1"/>
    <col min="10290" max="10496" width="9.140625" style="7"/>
    <col min="10497" max="10497" width="3" style="7" bestFit="1" customWidth="1"/>
    <col min="10498" max="10498" width="19.28515625" style="7" bestFit="1" customWidth="1"/>
    <col min="10499" max="10499" width="11.42578125" style="7" bestFit="1" customWidth="1"/>
    <col min="10500" max="10500" width="13.5703125" style="7" bestFit="1" customWidth="1"/>
    <col min="10501" max="10501" width="9.42578125" style="7" bestFit="1" customWidth="1"/>
    <col min="10502" max="10502" width="3.85546875" style="7" bestFit="1" customWidth="1"/>
    <col min="10503" max="10503" width="6.42578125" style="7" bestFit="1" customWidth="1"/>
    <col min="10504" max="10504" width="4.5703125" style="7" bestFit="1" customWidth="1"/>
    <col min="10505" max="10505" width="8.28515625" style="7" bestFit="1" customWidth="1"/>
    <col min="10506" max="10506" width="12" style="7" bestFit="1" customWidth="1"/>
    <col min="10507" max="10507" width="5.42578125" style="7" customWidth="1"/>
    <col min="10508" max="10508" width="2.85546875" style="7" bestFit="1" customWidth="1"/>
    <col min="10509" max="10512" width="0" style="7" hidden="1" customWidth="1"/>
    <col min="10513" max="10514" width="3" style="7" bestFit="1" customWidth="1"/>
    <col min="10515" max="10515" width="7.42578125" style="7" bestFit="1" customWidth="1"/>
    <col min="10516" max="10517" width="0" style="7" hidden="1" customWidth="1"/>
    <col min="10518" max="10519" width="3" style="7" bestFit="1" customWidth="1"/>
    <col min="10520" max="10520" width="7.42578125" style="7" bestFit="1" customWidth="1"/>
    <col min="10521" max="10537" width="0" style="7" hidden="1" customWidth="1"/>
    <col min="10538" max="10538" width="11.42578125" style="7" bestFit="1" customWidth="1"/>
    <col min="10539" max="10539" width="12.42578125" style="7" bestFit="1" customWidth="1"/>
    <col min="10540" max="10540" width="9.7109375" style="7" bestFit="1" customWidth="1"/>
    <col min="10541" max="10542" width="3" style="7" bestFit="1" customWidth="1"/>
    <col min="10543" max="10543" width="9.140625" style="7"/>
    <col min="10544" max="10545" width="3" style="7" bestFit="1" customWidth="1"/>
    <col min="10546" max="10752" width="9.140625" style="7"/>
    <col min="10753" max="10753" width="3" style="7" bestFit="1" customWidth="1"/>
    <col min="10754" max="10754" width="19.28515625" style="7" bestFit="1" customWidth="1"/>
    <col min="10755" max="10755" width="11.42578125" style="7" bestFit="1" customWidth="1"/>
    <col min="10756" max="10756" width="13.5703125" style="7" bestFit="1" customWidth="1"/>
    <col min="10757" max="10757" width="9.42578125" style="7" bestFit="1" customWidth="1"/>
    <col min="10758" max="10758" width="3.85546875" style="7" bestFit="1" customWidth="1"/>
    <col min="10759" max="10759" width="6.42578125" style="7" bestFit="1" customWidth="1"/>
    <col min="10760" max="10760" width="4.5703125" style="7" bestFit="1" customWidth="1"/>
    <col min="10761" max="10761" width="8.28515625" style="7" bestFit="1" customWidth="1"/>
    <col min="10762" max="10762" width="12" style="7" bestFit="1" customWidth="1"/>
    <col min="10763" max="10763" width="5.42578125" style="7" customWidth="1"/>
    <col min="10764" max="10764" width="2.85546875" style="7" bestFit="1" customWidth="1"/>
    <col min="10765" max="10768" width="0" style="7" hidden="1" customWidth="1"/>
    <col min="10769" max="10770" width="3" style="7" bestFit="1" customWidth="1"/>
    <col min="10771" max="10771" width="7.42578125" style="7" bestFit="1" customWidth="1"/>
    <col min="10772" max="10773" width="0" style="7" hidden="1" customWidth="1"/>
    <col min="10774" max="10775" width="3" style="7" bestFit="1" customWidth="1"/>
    <col min="10776" max="10776" width="7.42578125" style="7" bestFit="1" customWidth="1"/>
    <col min="10777" max="10793" width="0" style="7" hidden="1" customWidth="1"/>
    <col min="10794" max="10794" width="11.42578125" style="7" bestFit="1" customWidth="1"/>
    <col min="10795" max="10795" width="12.42578125" style="7" bestFit="1" customWidth="1"/>
    <col min="10796" max="10796" width="9.7109375" style="7" bestFit="1" customWidth="1"/>
    <col min="10797" max="10798" width="3" style="7" bestFit="1" customWidth="1"/>
    <col min="10799" max="10799" width="9.140625" style="7"/>
    <col min="10800" max="10801" width="3" style="7" bestFit="1" customWidth="1"/>
    <col min="10802" max="11008" width="9.140625" style="7"/>
    <col min="11009" max="11009" width="3" style="7" bestFit="1" customWidth="1"/>
    <col min="11010" max="11010" width="19.28515625" style="7" bestFit="1" customWidth="1"/>
    <col min="11011" max="11011" width="11.42578125" style="7" bestFit="1" customWidth="1"/>
    <col min="11012" max="11012" width="13.5703125" style="7" bestFit="1" customWidth="1"/>
    <col min="11013" max="11013" width="9.42578125" style="7" bestFit="1" customWidth="1"/>
    <col min="11014" max="11014" width="3.85546875" style="7" bestFit="1" customWidth="1"/>
    <col min="11015" max="11015" width="6.42578125" style="7" bestFit="1" customWidth="1"/>
    <col min="11016" max="11016" width="4.5703125" style="7" bestFit="1" customWidth="1"/>
    <col min="11017" max="11017" width="8.28515625" style="7" bestFit="1" customWidth="1"/>
    <col min="11018" max="11018" width="12" style="7" bestFit="1" customWidth="1"/>
    <col min="11019" max="11019" width="5.42578125" style="7" customWidth="1"/>
    <col min="11020" max="11020" width="2.85546875" style="7" bestFit="1" customWidth="1"/>
    <col min="11021" max="11024" width="0" style="7" hidden="1" customWidth="1"/>
    <col min="11025" max="11026" width="3" style="7" bestFit="1" customWidth="1"/>
    <col min="11027" max="11027" width="7.42578125" style="7" bestFit="1" customWidth="1"/>
    <col min="11028" max="11029" width="0" style="7" hidden="1" customWidth="1"/>
    <col min="11030" max="11031" width="3" style="7" bestFit="1" customWidth="1"/>
    <col min="11032" max="11032" width="7.42578125" style="7" bestFit="1" customWidth="1"/>
    <col min="11033" max="11049" width="0" style="7" hidden="1" customWidth="1"/>
    <col min="11050" max="11050" width="11.42578125" style="7" bestFit="1" customWidth="1"/>
    <col min="11051" max="11051" width="12.42578125" style="7" bestFit="1" customWidth="1"/>
    <col min="11052" max="11052" width="9.7109375" style="7" bestFit="1" customWidth="1"/>
    <col min="11053" max="11054" width="3" style="7" bestFit="1" customWidth="1"/>
    <col min="11055" max="11055" width="9.140625" style="7"/>
    <col min="11056" max="11057" width="3" style="7" bestFit="1" customWidth="1"/>
    <col min="11058" max="11264" width="9.140625" style="7"/>
    <col min="11265" max="11265" width="3" style="7" bestFit="1" customWidth="1"/>
    <col min="11266" max="11266" width="19.28515625" style="7" bestFit="1" customWidth="1"/>
    <col min="11267" max="11267" width="11.42578125" style="7" bestFit="1" customWidth="1"/>
    <col min="11268" max="11268" width="13.5703125" style="7" bestFit="1" customWidth="1"/>
    <col min="11269" max="11269" width="9.42578125" style="7" bestFit="1" customWidth="1"/>
    <col min="11270" max="11270" width="3.85546875" style="7" bestFit="1" customWidth="1"/>
    <col min="11271" max="11271" width="6.42578125" style="7" bestFit="1" customWidth="1"/>
    <col min="11272" max="11272" width="4.5703125" style="7" bestFit="1" customWidth="1"/>
    <col min="11273" max="11273" width="8.28515625" style="7" bestFit="1" customWidth="1"/>
    <col min="11274" max="11274" width="12" style="7" bestFit="1" customWidth="1"/>
    <col min="11275" max="11275" width="5.42578125" style="7" customWidth="1"/>
    <col min="11276" max="11276" width="2.85546875" style="7" bestFit="1" customWidth="1"/>
    <col min="11277" max="11280" width="0" style="7" hidden="1" customWidth="1"/>
    <col min="11281" max="11282" width="3" style="7" bestFit="1" customWidth="1"/>
    <col min="11283" max="11283" width="7.42578125" style="7" bestFit="1" customWidth="1"/>
    <col min="11284" max="11285" width="0" style="7" hidden="1" customWidth="1"/>
    <col min="11286" max="11287" width="3" style="7" bestFit="1" customWidth="1"/>
    <col min="11288" max="11288" width="7.42578125" style="7" bestFit="1" customWidth="1"/>
    <col min="11289" max="11305" width="0" style="7" hidden="1" customWidth="1"/>
    <col min="11306" max="11306" width="11.42578125" style="7" bestFit="1" customWidth="1"/>
    <col min="11307" max="11307" width="12.42578125" style="7" bestFit="1" customWidth="1"/>
    <col min="11308" max="11308" width="9.7109375" style="7" bestFit="1" customWidth="1"/>
    <col min="11309" max="11310" width="3" style="7" bestFit="1" customWidth="1"/>
    <col min="11311" max="11311" width="9.140625" style="7"/>
    <col min="11312" max="11313" width="3" style="7" bestFit="1" customWidth="1"/>
    <col min="11314" max="11520" width="9.140625" style="7"/>
    <col min="11521" max="11521" width="3" style="7" bestFit="1" customWidth="1"/>
    <col min="11522" max="11522" width="19.28515625" style="7" bestFit="1" customWidth="1"/>
    <col min="11523" max="11523" width="11.42578125" style="7" bestFit="1" customWidth="1"/>
    <col min="11524" max="11524" width="13.5703125" style="7" bestFit="1" customWidth="1"/>
    <col min="11525" max="11525" width="9.42578125" style="7" bestFit="1" customWidth="1"/>
    <col min="11526" max="11526" width="3.85546875" style="7" bestFit="1" customWidth="1"/>
    <col min="11527" max="11527" width="6.42578125" style="7" bestFit="1" customWidth="1"/>
    <col min="11528" max="11528" width="4.5703125" style="7" bestFit="1" customWidth="1"/>
    <col min="11529" max="11529" width="8.28515625" style="7" bestFit="1" customWidth="1"/>
    <col min="11530" max="11530" width="12" style="7" bestFit="1" customWidth="1"/>
    <col min="11531" max="11531" width="5.42578125" style="7" customWidth="1"/>
    <col min="11532" max="11532" width="2.85546875" style="7" bestFit="1" customWidth="1"/>
    <col min="11533" max="11536" width="0" style="7" hidden="1" customWidth="1"/>
    <col min="11537" max="11538" width="3" style="7" bestFit="1" customWidth="1"/>
    <col min="11539" max="11539" width="7.42578125" style="7" bestFit="1" customWidth="1"/>
    <col min="11540" max="11541" width="0" style="7" hidden="1" customWidth="1"/>
    <col min="11542" max="11543" width="3" style="7" bestFit="1" customWidth="1"/>
    <col min="11544" max="11544" width="7.42578125" style="7" bestFit="1" customWidth="1"/>
    <col min="11545" max="11561" width="0" style="7" hidden="1" customWidth="1"/>
    <col min="11562" max="11562" width="11.42578125" style="7" bestFit="1" customWidth="1"/>
    <col min="11563" max="11563" width="12.42578125" style="7" bestFit="1" customWidth="1"/>
    <col min="11564" max="11564" width="9.7109375" style="7" bestFit="1" customWidth="1"/>
    <col min="11565" max="11566" width="3" style="7" bestFit="1" customWidth="1"/>
    <col min="11567" max="11567" width="9.140625" style="7"/>
    <col min="11568" max="11569" width="3" style="7" bestFit="1" customWidth="1"/>
    <col min="11570" max="11776" width="9.140625" style="7"/>
    <col min="11777" max="11777" width="3" style="7" bestFit="1" customWidth="1"/>
    <col min="11778" max="11778" width="19.28515625" style="7" bestFit="1" customWidth="1"/>
    <col min="11779" max="11779" width="11.42578125" style="7" bestFit="1" customWidth="1"/>
    <col min="11780" max="11780" width="13.5703125" style="7" bestFit="1" customWidth="1"/>
    <col min="11781" max="11781" width="9.42578125" style="7" bestFit="1" customWidth="1"/>
    <col min="11782" max="11782" width="3.85546875" style="7" bestFit="1" customWidth="1"/>
    <col min="11783" max="11783" width="6.42578125" style="7" bestFit="1" customWidth="1"/>
    <col min="11784" max="11784" width="4.5703125" style="7" bestFit="1" customWidth="1"/>
    <col min="11785" max="11785" width="8.28515625" style="7" bestFit="1" customWidth="1"/>
    <col min="11786" max="11786" width="12" style="7" bestFit="1" customWidth="1"/>
    <col min="11787" max="11787" width="5.42578125" style="7" customWidth="1"/>
    <col min="11788" max="11788" width="2.85546875" style="7" bestFit="1" customWidth="1"/>
    <col min="11789" max="11792" width="0" style="7" hidden="1" customWidth="1"/>
    <col min="11793" max="11794" width="3" style="7" bestFit="1" customWidth="1"/>
    <col min="11795" max="11795" width="7.42578125" style="7" bestFit="1" customWidth="1"/>
    <col min="11796" max="11797" width="0" style="7" hidden="1" customWidth="1"/>
    <col min="11798" max="11799" width="3" style="7" bestFit="1" customWidth="1"/>
    <col min="11800" max="11800" width="7.42578125" style="7" bestFit="1" customWidth="1"/>
    <col min="11801" max="11817" width="0" style="7" hidden="1" customWidth="1"/>
    <col min="11818" max="11818" width="11.42578125" style="7" bestFit="1" customWidth="1"/>
    <col min="11819" max="11819" width="12.42578125" style="7" bestFit="1" customWidth="1"/>
    <col min="11820" max="11820" width="9.7109375" style="7" bestFit="1" customWidth="1"/>
    <col min="11821" max="11822" width="3" style="7" bestFit="1" customWidth="1"/>
    <col min="11823" max="11823" width="9.140625" style="7"/>
    <col min="11824" max="11825" width="3" style="7" bestFit="1" customWidth="1"/>
    <col min="11826" max="12032" width="9.140625" style="7"/>
    <col min="12033" max="12033" width="3" style="7" bestFit="1" customWidth="1"/>
    <col min="12034" max="12034" width="19.28515625" style="7" bestFit="1" customWidth="1"/>
    <col min="12035" max="12035" width="11.42578125" style="7" bestFit="1" customWidth="1"/>
    <col min="12036" max="12036" width="13.5703125" style="7" bestFit="1" customWidth="1"/>
    <col min="12037" max="12037" width="9.42578125" style="7" bestFit="1" customWidth="1"/>
    <col min="12038" max="12038" width="3.85546875" style="7" bestFit="1" customWidth="1"/>
    <col min="12039" max="12039" width="6.42578125" style="7" bestFit="1" customWidth="1"/>
    <col min="12040" max="12040" width="4.5703125" style="7" bestFit="1" customWidth="1"/>
    <col min="12041" max="12041" width="8.28515625" style="7" bestFit="1" customWidth="1"/>
    <col min="12042" max="12042" width="12" style="7" bestFit="1" customWidth="1"/>
    <col min="12043" max="12043" width="5.42578125" style="7" customWidth="1"/>
    <col min="12044" max="12044" width="2.85546875" style="7" bestFit="1" customWidth="1"/>
    <col min="12045" max="12048" width="0" style="7" hidden="1" customWidth="1"/>
    <col min="12049" max="12050" width="3" style="7" bestFit="1" customWidth="1"/>
    <col min="12051" max="12051" width="7.42578125" style="7" bestFit="1" customWidth="1"/>
    <col min="12052" max="12053" width="0" style="7" hidden="1" customWidth="1"/>
    <col min="12054" max="12055" width="3" style="7" bestFit="1" customWidth="1"/>
    <col min="12056" max="12056" width="7.42578125" style="7" bestFit="1" customWidth="1"/>
    <col min="12057" max="12073" width="0" style="7" hidden="1" customWidth="1"/>
    <col min="12074" max="12074" width="11.42578125" style="7" bestFit="1" customWidth="1"/>
    <col min="12075" max="12075" width="12.42578125" style="7" bestFit="1" customWidth="1"/>
    <col min="12076" max="12076" width="9.7109375" style="7" bestFit="1" customWidth="1"/>
    <col min="12077" max="12078" width="3" style="7" bestFit="1" customWidth="1"/>
    <col min="12079" max="12079" width="9.140625" style="7"/>
    <col min="12080" max="12081" width="3" style="7" bestFit="1" customWidth="1"/>
    <col min="12082" max="12288" width="9.140625" style="7"/>
    <col min="12289" max="12289" width="3" style="7" bestFit="1" customWidth="1"/>
    <col min="12290" max="12290" width="19.28515625" style="7" bestFit="1" customWidth="1"/>
    <col min="12291" max="12291" width="11.42578125" style="7" bestFit="1" customWidth="1"/>
    <col min="12292" max="12292" width="13.5703125" style="7" bestFit="1" customWidth="1"/>
    <col min="12293" max="12293" width="9.42578125" style="7" bestFit="1" customWidth="1"/>
    <col min="12294" max="12294" width="3.85546875" style="7" bestFit="1" customWidth="1"/>
    <col min="12295" max="12295" width="6.42578125" style="7" bestFit="1" customWidth="1"/>
    <col min="12296" max="12296" width="4.5703125" style="7" bestFit="1" customWidth="1"/>
    <col min="12297" max="12297" width="8.28515625" style="7" bestFit="1" customWidth="1"/>
    <col min="12298" max="12298" width="12" style="7" bestFit="1" customWidth="1"/>
    <col min="12299" max="12299" width="5.42578125" style="7" customWidth="1"/>
    <col min="12300" max="12300" width="2.85546875" style="7" bestFit="1" customWidth="1"/>
    <col min="12301" max="12304" width="0" style="7" hidden="1" customWidth="1"/>
    <col min="12305" max="12306" width="3" style="7" bestFit="1" customWidth="1"/>
    <col min="12307" max="12307" width="7.42578125" style="7" bestFit="1" customWidth="1"/>
    <col min="12308" max="12309" width="0" style="7" hidden="1" customWidth="1"/>
    <col min="12310" max="12311" width="3" style="7" bestFit="1" customWidth="1"/>
    <col min="12312" max="12312" width="7.42578125" style="7" bestFit="1" customWidth="1"/>
    <col min="12313" max="12329" width="0" style="7" hidden="1" customWidth="1"/>
    <col min="12330" max="12330" width="11.42578125" style="7" bestFit="1" customWidth="1"/>
    <col min="12331" max="12331" width="12.42578125" style="7" bestFit="1" customWidth="1"/>
    <col min="12332" max="12332" width="9.7109375" style="7" bestFit="1" customWidth="1"/>
    <col min="12333" max="12334" width="3" style="7" bestFit="1" customWidth="1"/>
    <col min="12335" max="12335" width="9.140625" style="7"/>
    <col min="12336" max="12337" width="3" style="7" bestFit="1" customWidth="1"/>
    <col min="12338" max="12544" width="9.140625" style="7"/>
    <col min="12545" max="12545" width="3" style="7" bestFit="1" customWidth="1"/>
    <col min="12546" max="12546" width="19.28515625" style="7" bestFit="1" customWidth="1"/>
    <col min="12547" max="12547" width="11.42578125" style="7" bestFit="1" customWidth="1"/>
    <col min="12548" max="12548" width="13.5703125" style="7" bestFit="1" customWidth="1"/>
    <col min="12549" max="12549" width="9.42578125" style="7" bestFit="1" customWidth="1"/>
    <col min="12550" max="12550" width="3.85546875" style="7" bestFit="1" customWidth="1"/>
    <col min="12551" max="12551" width="6.42578125" style="7" bestFit="1" customWidth="1"/>
    <col min="12552" max="12552" width="4.5703125" style="7" bestFit="1" customWidth="1"/>
    <col min="12553" max="12553" width="8.28515625" style="7" bestFit="1" customWidth="1"/>
    <col min="12554" max="12554" width="12" style="7" bestFit="1" customWidth="1"/>
    <col min="12555" max="12555" width="5.42578125" style="7" customWidth="1"/>
    <col min="12556" max="12556" width="2.85546875" style="7" bestFit="1" customWidth="1"/>
    <col min="12557" max="12560" width="0" style="7" hidden="1" customWidth="1"/>
    <col min="12561" max="12562" width="3" style="7" bestFit="1" customWidth="1"/>
    <col min="12563" max="12563" width="7.42578125" style="7" bestFit="1" customWidth="1"/>
    <col min="12564" max="12565" width="0" style="7" hidden="1" customWidth="1"/>
    <col min="12566" max="12567" width="3" style="7" bestFit="1" customWidth="1"/>
    <col min="12568" max="12568" width="7.42578125" style="7" bestFit="1" customWidth="1"/>
    <col min="12569" max="12585" width="0" style="7" hidden="1" customWidth="1"/>
    <col min="12586" max="12586" width="11.42578125" style="7" bestFit="1" customWidth="1"/>
    <col min="12587" max="12587" width="12.42578125" style="7" bestFit="1" customWidth="1"/>
    <col min="12588" max="12588" width="9.7109375" style="7" bestFit="1" customWidth="1"/>
    <col min="12589" max="12590" width="3" style="7" bestFit="1" customWidth="1"/>
    <col min="12591" max="12591" width="9.140625" style="7"/>
    <col min="12592" max="12593" width="3" style="7" bestFit="1" customWidth="1"/>
    <col min="12594" max="12800" width="9.140625" style="7"/>
    <col min="12801" max="12801" width="3" style="7" bestFit="1" customWidth="1"/>
    <col min="12802" max="12802" width="19.28515625" style="7" bestFit="1" customWidth="1"/>
    <col min="12803" max="12803" width="11.42578125" style="7" bestFit="1" customWidth="1"/>
    <col min="12804" max="12804" width="13.5703125" style="7" bestFit="1" customWidth="1"/>
    <col min="12805" max="12805" width="9.42578125" style="7" bestFit="1" customWidth="1"/>
    <col min="12806" max="12806" width="3.85546875" style="7" bestFit="1" customWidth="1"/>
    <col min="12807" max="12807" width="6.42578125" style="7" bestFit="1" customWidth="1"/>
    <col min="12808" max="12808" width="4.5703125" style="7" bestFit="1" customWidth="1"/>
    <col min="12809" max="12809" width="8.28515625" style="7" bestFit="1" customWidth="1"/>
    <col min="12810" max="12810" width="12" style="7" bestFit="1" customWidth="1"/>
    <col min="12811" max="12811" width="5.42578125" style="7" customWidth="1"/>
    <col min="12812" max="12812" width="2.85546875" style="7" bestFit="1" customWidth="1"/>
    <col min="12813" max="12816" width="0" style="7" hidden="1" customWidth="1"/>
    <col min="12817" max="12818" width="3" style="7" bestFit="1" customWidth="1"/>
    <col min="12819" max="12819" width="7.42578125" style="7" bestFit="1" customWidth="1"/>
    <col min="12820" max="12821" width="0" style="7" hidden="1" customWidth="1"/>
    <col min="12822" max="12823" width="3" style="7" bestFit="1" customWidth="1"/>
    <col min="12824" max="12824" width="7.42578125" style="7" bestFit="1" customWidth="1"/>
    <col min="12825" max="12841" width="0" style="7" hidden="1" customWidth="1"/>
    <col min="12842" max="12842" width="11.42578125" style="7" bestFit="1" customWidth="1"/>
    <col min="12843" max="12843" width="12.42578125" style="7" bestFit="1" customWidth="1"/>
    <col min="12844" max="12844" width="9.7109375" style="7" bestFit="1" customWidth="1"/>
    <col min="12845" max="12846" width="3" style="7" bestFit="1" customWidth="1"/>
    <col min="12847" max="12847" width="9.140625" style="7"/>
    <col min="12848" max="12849" width="3" style="7" bestFit="1" customWidth="1"/>
    <col min="12850" max="13056" width="9.140625" style="7"/>
    <col min="13057" max="13057" width="3" style="7" bestFit="1" customWidth="1"/>
    <col min="13058" max="13058" width="19.28515625" style="7" bestFit="1" customWidth="1"/>
    <col min="13059" max="13059" width="11.42578125" style="7" bestFit="1" customWidth="1"/>
    <col min="13060" max="13060" width="13.5703125" style="7" bestFit="1" customWidth="1"/>
    <col min="13061" max="13061" width="9.42578125" style="7" bestFit="1" customWidth="1"/>
    <col min="13062" max="13062" width="3.85546875" style="7" bestFit="1" customWidth="1"/>
    <col min="13063" max="13063" width="6.42578125" style="7" bestFit="1" customWidth="1"/>
    <col min="13064" max="13064" width="4.5703125" style="7" bestFit="1" customWidth="1"/>
    <col min="13065" max="13065" width="8.28515625" style="7" bestFit="1" customWidth="1"/>
    <col min="13066" max="13066" width="12" style="7" bestFit="1" customWidth="1"/>
    <col min="13067" max="13067" width="5.42578125" style="7" customWidth="1"/>
    <col min="13068" max="13068" width="2.85546875" style="7" bestFit="1" customWidth="1"/>
    <col min="13069" max="13072" width="0" style="7" hidden="1" customWidth="1"/>
    <col min="13073" max="13074" width="3" style="7" bestFit="1" customWidth="1"/>
    <col min="13075" max="13075" width="7.42578125" style="7" bestFit="1" customWidth="1"/>
    <col min="13076" max="13077" width="0" style="7" hidden="1" customWidth="1"/>
    <col min="13078" max="13079" width="3" style="7" bestFit="1" customWidth="1"/>
    <col min="13080" max="13080" width="7.42578125" style="7" bestFit="1" customWidth="1"/>
    <col min="13081" max="13097" width="0" style="7" hidden="1" customWidth="1"/>
    <col min="13098" max="13098" width="11.42578125" style="7" bestFit="1" customWidth="1"/>
    <col min="13099" max="13099" width="12.42578125" style="7" bestFit="1" customWidth="1"/>
    <col min="13100" max="13100" width="9.7109375" style="7" bestFit="1" customWidth="1"/>
    <col min="13101" max="13102" width="3" style="7" bestFit="1" customWidth="1"/>
    <col min="13103" max="13103" width="9.140625" style="7"/>
    <col min="13104" max="13105" width="3" style="7" bestFit="1" customWidth="1"/>
    <col min="13106" max="13312" width="9.140625" style="7"/>
    <col min="13313" max="13313" width="3" style="7" bestFit="1" customWidth="1"/>
    <col min="13314" max="13314" width="19.28515625" style="7" bestFit="1" customWidth="1"/>
    <col min="13315" max="13315" width="11.42578125" style="7" bestFit="1" customWidth="1"/>
    <col min="13316" max="13316" width="13.5703125" style="7" bestFit="1" customWidth="1"/>
    <col min="13317" max="13317" width="9.42578125" style="7" bestFit="1" customWidth="1"/>
    <col min="13318" max="13318" width="3.85546875" style="7" bestFit="1" customWidth="1"/>
    <col min="13319" max="13319" width="6.42578125" style="7" bestFit="1" customWidth="1"/>
    <col min="13320" max="13320" width="4.5703125" style="7" bestFit="1" customWidth="1"/>
    <col min="13321" max="13321" width="8.28515625" style="7" bestFit="1" customWidth="1"/>
    <col min="13322" max="13322" width="12" style="7" bestFit="1" customWidth="1"/>
    <col min="13323" max="13323" width="5.42578125" style="7" customWidth="1"/>
    <col min="13324" max="13324" width="2.85546875" style="7" bestFit="1" customWidth="1"/>
    <col min="13325" max="13328" width="0" style="7" hidden="1" customWidth="1"/>
    <col min="13329" max="13330" width="3" style="7" bestFit="1" customWidth="1"/>
    <col min="13331" max="13331" width="7.42578125" style="7" bestFit="1" customWidth="1"/>
    <col min="13332" max="13333" width="0" style="7" hidden="1" customWidth="1"/>
    <col min="13334" max="13335" width="3" style="7" bestFit="1" customWidth="1"/>
    <col min="13336" max="13336" width="7.42578125" style="7" bestFit="1" customWidth="1"/>
    <col min="13337" max="13353" width="0" style="7" hidden="1" customWidth="1"/>
    <col min="13354" max="13354" width="11.42578125" style="7" bestFit="1" customWidth="1"/>
    <col min="13355" max="13355" width="12.42578125" style="7" bestFit="1" customWidth="1"/>
    <col min="13356" max="13356" width="9.7109375" style="7" bestFit="1" customWidth="1"/>
    <col min="13357" max="13358" width="3" style="7" bestFit="1" customWidth="1"/>
    <col min="13359" max="13359" width="9.140625" style="7"/>
    <col min="13360" max="13361" width="3" style="7" bestFit="1" customWidth="1"/>
    <col min="13362" max="13568" width="9.140625" style="7"/>
    <col min="13569" max="13569" width="3" style="7" bestFit="1" customWidth="1"/>
    <col min="13570" max="13570" width="19.28515625" style="7" bestFit="1" customWidth="1"/>
    <col min="13571" max="13571" width="11.42578125" style="7" bestFit="1" customWidth="1"/>
    <col min="13572" max="13572" width="13.5703125" style="7" bestFit="1" customWidth="1"/>
    <col min="13573" max="13573" width="9.42578125" style="7" bestFit="1" customWidth="1"/>
    <col min="13574" max="13574" width="3.85546875" style="7" bestFit="1" customWidth="1"/>
    <col min="13575" max="13575" width="6.42578125" style="7" bestFit="1" customWidth="1"/>
    <col min="13576" max="13576" width="4.5703125" style="7" bestFit="1" customWidth="1"/>
    <col min="13577" max="13577" width="8.28515625" style="7" bestFit="1" customWidth="1"/>
    <col min="13578" max="13578" width="12" style="7" bestFit="1" customWidth="1"/>
    <col min="13579" max="13579" width="5.42578125" style="7" customWidth="1"/>
    <col min="13580" max="13580" width="2.85546875" style="7" bestFit="1" customWidth="1"/>
    <col min="13581" max="13584" width="0" style="7" hidden="1" customWidth="1"/>
    <col min="13585" max="13586" width="3" style="7" bestFit="1" customWidth="1"/>
    <col min="13587" max="13587" width="7.42578125" style="7" bestFit="1" customWidth="1"/>
    <col min="13588" max="13589" width="0" style="7" hidden="1" customWidth="1"/>
    <col min="13590" max="13591" width="3" style="7" bestFit="1" customWidth="1"/>
    <col min="13592" max="13592" width="7.42578125" style="7" bestFit="1" customWidth="1"/>
    <col min="13593" max="13609" width="0" style="7" hidden="1" customWidth="1"/>
    <col min="13610" max="13610" width="11.42578125" style="7" bestFit="1" customWidth="1"/>
    <col min="13611" max="13611" width="12.42578125" style="7" bestFit="1" customWidth="1"/>
    <col min="13612" max="13612" width="9.7109375" style="7" bestFit="1" customWidth="1"/>
    <col min="13613" max="13614" width="3" style="7" bestFit="1" customWidth="1"/>
    <col min="13615" max="13615" width="9.140625" style="7"/>
    <col min="13616" max="13617" width="3" style="7" bestFit="1" customWidth="1"/>
    <col min="13618" max="13824" width="9.140625" style="7"/>
    <col min="13825" max="13825" width="3" style="7" bestFit="1" customWidth="1"/>
    <col min="13826" max="13826" width="19.28515625" style="7" bestFit="1" customWidth="1"/>
    <col min="13827" max="13827" width="11.42578125" style="7" bestFit="1" customWidth="1"/>
    <col min="13828" max="13828" width="13.5703125" style="7" bestFit="1" customWidth="1"/>
    <col min="13829" max="13829" width="9.42578125" style="7" bestFit="1" customWidth="1"/>
    <col min="13830" max="13830" width="3.85546875" style="7" bestFit="1" customWidth="1"/>
    <col min="13831" max="13831" width="6.42578125" style="7" bestFit="1" customWidth="1"/>
    <col min="13832" max="13832" width="4.5703125" style="7" bestFit="1" customWidth="1"/>
    <col min="13833" max="13833" width="8.28515625" style="7" bestFit="1" customWidth="1"/>
    <col min="13834" max="13834" width="12" style="7" bestFit="1" customWidth="1"/>
    <col min="13835" max="13835" width="5.42578125" style="7" customWidth="1"/>
    <col min="13836" max="13836" width="2.85546875" style="7" bestFit="1" customWidth="1"/>
    <col min="13837" max="13840" width="0" style="7" hidden="1" customWidth="1"/>
    <col min="13841" max="13842" width="3" style="7" bestFit="1" customWidth="1"/>
    <col min="13843" max="13843" width="7.42578125" style="7" bestFit="1" customWidth="1"/>
    <col min="13844" max="13845" width="0" style="7" hidden="1" customWidth="1"/>
    <col min="13846" max="13847" width="3" style="7" bestFit="1" customWidth="1"/>
    <col min="13848" max="13848" width="7.42578125" style="7" bestFit="1" customWidth="1"/>
    <col min="13849" max="13865" width="0" style="7" hidden="1" customWidth="1"/>
    <col min="13866" max="13866" width="11.42578125" style="7" bestFit="1" customWidth="1"/>
    <col min="13867" max="13867" width="12.42578125" style="7" bestFit="1" customWidth="1"/>
    <col min="13868" max="13868" width="9.7109375" style="7" bestFit="1" customWidth="1"/>
    <col min="13869" max="13870" width="3" style="7" bestFit="1" customWidth="1"/>
    <col min="13871" max="13871" width="9.140625" style="7"/>
    <col min="13872" max="13873" width="3" style="7" bestFit="1" customWidth="1"/>
    <col min="13874" max="14080" width="9.140625" style="7"/>
    <col min="14081" max="14081" width="3" style="7" bestFit="1" customWidth="1"/>
    <col min="14082" max="14082" width="19.28515625" style="7" bestFit="1" customWidth="1"/>
    <col min="14083" max="14083" width="11.42578125" style="7" bestFit="1" customWidth="1"/>
    <col min="14084" max="14084" width="13.5703125" style="7" bestFit="1" customWidth="1"/>
    <col min="14085" max="14085" width="9.42578125" style="7" bestFit="1" customWidth="1"/>
    <col min="14086" max="14086" width="3.85546875" style="7" bestFit="1" customWidth="1"/>
    <col min="14087" max="14087" width="6.42578125" style="7" bestFit="1" customWidth="1"/>
    <col min="14088" max="14088" width="4.5703125" style="7" bestFit="1" customWidth="1"/>
    <col min="14089" max="14089" width="8.28515625" style="7" bestFit="1" customWidth="1"/>
    <col min="14090" max="14090" width="12" style="7" bestFit="1" customWidth="1"/>
    <col min="14091" max="14091" width="5.42578125" style="7" customWidth="1"/>
    <col min="14092" max="14092" width="2.85546875" style="7" bestFit="1" customWidth="1"/>
    <col min="14093" max="14096" width="0" style="7" hidden="1" customWidth="1"/>
    <col min="14097" max="14098" width="3" style="7" bestFit="1" customWidth="1"/>
    <col min="14099" max="14099" width="7.42578125" style="7" bestFit="1" customWidth="1"/>
    <col min="14100" max="14101" width="0" style="7" hidden="1" customWidth="1"/>
    <col min="14102" max="14103" width="3" style="7" bestFit="1" customWidth="1"/>
    <col min="14104" max="14104" width="7.42578125" style="7" bestFit="1" customWidth="1"/>
    <col min="14105" max="14121" width="0" style="7" hidden="1" customWidth="1"/>
    <col min="14122" max="14122" width="11.42578125" style="7" bestFit="1" customWidth="1"/>
    <col min="14123" max="14123" width="12.42578125" style="7" bestFit="1" customWidth="1"/>
    <col min="14124" max="14124" width="9.7109375" style="7" bestFit="1" customWidth="1"/>
    <col min="14125" max="14126" width="3" style="7" bestFit="1" customWidth="1"/>
    <col min="14127" max="14127" width="9.140625" style="7"/>
    <col min="14128" max="14129" width="3" style="7" bestFit="1" customWidth="1"/>
    <col min="14130" max="14336" width="9.140625" style="7"/>
    <col min="14337" max="14337" width="3" style="7" bestFit="1" customWidth="1"/>
    <col min="14338" max="14338" width="19.28515625" style="7" bestFit="1" customWidth="1"/>
    <col min="14339" max="14339" width="11.42578125" style="7" bestFit="1" customWidth="1"/>
    <col min="14340" max="14340" width="13.5703125" style="7" bestFit="1" customWidth="1"/>
    <col min="14341" max="14341" width="9.42578125" style="7" bestFit="1" customWidth="1"/>
    <col min="14342" max="14342" width="3.85546875" style="7" bestFit="1" customWidth="1"/>
    <col min="14343" max="14343" width="6.42578125" style="7" bestFit="1" customWidth="1"/>
    <col min="14344" max="14344" width="4.5703125" style="7" bestFit="1" customWidth="1"/>
    <col min="14345" max="14345" width="8.28515625" style="7" bestFit="1" customWidth="1"/>
    <col min="14346" max="14346" width="12" style="7" bestFit="1" customWidth="1"/>
    <col min="14347" max="14347" width="5.42578125" style="7" customWidth="1"/>
    <col min="14348" max="14348" width="2.85546875" style="7" bestFit="1" customWidth="1"/>
    <col min="14349" max="14352" width="0" style="7" hidden="1" customWidth="1"/>
    <col min="14353" max="14354" width="3" style="7" bestFit="1" customWidth="1"/>
    <col min="14355" max="14355" width="7.42578125" style="7" bestFit="1" customWidth="1"/>
    <col min="14356" max="14357" width="0" style="7" hidden="1" customWidth="1"/>
    <col min="14358" max="14359" width="3" style="7" bestFit="1" customWidth="1"/>
    <col min="14360" max="14360" width="7.42578125" style="7" bestFit="1" customWidth="1"/>
    <col min="14361" max="14377" width="0" style="7" hidden="1" customWidth="1"/>
    <col min="14378" max="14378" width="11.42578125" style="7" bestFit="1" customWidth="1"/>
    <col min="14379" max="14379" width="12.42578125" style="7" bestFit="1" customWidth="1"/>
    <col min="14380" max="14380" width="9.7109375" style="7" bestFit="1" customWidth="1"/>
    <col min="14381" max="14382" width="3" style="7" bestFit="1" customWidth="1"/>
    <col min="14383" max="14383" width="9.140625" style="7"/>
    <col min="14384" max="14385" width="3" style="7" bestFit="1" customWidth="1"/>
    <col min="14386" max="14592" width="9.140625" style="7"/>
    <col min="14593" max="14593" width="3" style="7" bestFit="1" customWidth="1"/>
    <col min="14594" max="14594" width="19.28515625" style="7" bestFit="1" customWidth="1"/>
    <col min="14595" max="14595" width="11.42578125" style="7" bestFit="1" customWidth="1"/>
    <col min="14596" max="14596" width="13.5703125" style="7" bestFit="1" customWidth="1"/>
    <col min="14597" max="14597" width="9.42578125" style="7" bestFit="1" customWidth="1"/>
    <col min="14598" max="14598" width="3.85546875" style="7" bestFit="1" customWidth="1"/>
    <col min="14599" max="14599" width="6.42578125" style="7" bestFit="1" customWidth="1"/>
    <col min="14600" max="14600" width="4.5703125" style="7" bestFit="1" customWidth="1"/>
    <col min="14601" max="14601" width="8.28515625" style="7" bestFit="1" customWidth="1"/>
    <col min="14602" max="14602" width="12" style="7" bestFit="1" customWidth="1"/>
    <col min="14603" max="14603" width="5.42578125" style="7" customWidth="1"/>
    <col min="14604" max="14604" width="2.85546875" style="7" bestFit="1" customWidth="1"/>
    <col min="14605" max="14608" width="0" style="7" hidden="1" customWidth="1"/>
    <col min="14609" max="14610" width="3" style="7" bestFit="1" customWidth="1"/>
    <col min="14611" max="14611" width="7.42578125" style="7" bestFit="1" customWidth="1"/>
    <col min="14612" max="14613" width="0" style="7" hidden="1" customWidth="1"/>
    <col min="14614" max="14615" width="3" style="7" bestFit="1" customWidth="1"/>
    <col min="14616" max="14616" width="7.42578125" style="7" bestFit="1" customWidth="1"/>
    <col min="14617" max="14633" width="0" style="7" hidden="1" customWidth="1"/>
    <col min="14634" max="14634" width="11.42578125" style="7" bestFit="1" customWidth="1"/>
    <col min="14635" max="14635" width="12.42578125" style="7" bestFit="1" customWidth="1"/>
    <col min="14636" max="14636" width="9.7109375" style="7" bestFit="1" customWidth="1"/>
    <col min="14637" max="14638" width="3" style="7" bestFit="1" customWidth="1"/>
    <col min="14639" max="14639" width="9.140625" style="7"/>
    <col min="14640" max="14641" width="3" style="7" bestFit="1" customWidth="1"/>
    <col min="14642" max="14848" width="9.140625" style="7"/>
    <col min="14849" max="14849" width="3" style="7" bestFit="1" customWidth="1"/>
    <col min="14850" max="14850" width="19.28515625" style="7" bestFit="1" customWidth="1"/>
    <col min="14851" max="14851" width="11.42578125" style="7" bestFit="1" customWidth="1"/>
    <col min="14852" max="14852" width="13.5703125" style="7" bestFit="1" customWidth="1"/>
    <col min="14853" max="14853" width="9.42578125" style="7" bestFit="1" customWidth="1"/>
    <col min="14854" max="14854" width="3.85546875" style="7" bestFit="1" customWidth="1"/>
    <col min="14855" max="14855" width="6.42578125" style="7" bestFit="1" customWidth="1"/>
    <col min="14856" max="14856" width="4.5703125" style="7" bestFit="1" customWidth="1"/>
    <col min="14857" max="14857" width="8.28515625" style="7" bestFit="1" customWidth="1"/>
    <col min="14858" max="14858" width="12" style="7" bestFit="1" customWidth="1"/>
    <col min="14859" max="14859" width="5.42578125" style="7" customWidth="1"/>
    <col min="14860" max="14860" width="2.85546875" style="7" bestFit="1" customWidth="1"/>
    <col min="14861" max="14864" width="0" style="7" hidden="1" customWidth="1"/>
    <col min="14865" max="14866" width="3" style="7" bestFit="1" customWidth="1"/>
    <col min="14867" max="14867" width="7.42578125" style="7" bestFit="1" customWidth="1"/>
    <col min="14868" max="14869" width="0" style="7" hidden="1" customWidth="1"/>
    <col min="14870" max="14871" width="3" style="7" bestFit="1" customWidth="1"/>
    <col min="14872" max="14872" width="7.42578125" style="7" bestFit="1" customWidth="1"/>
    <col min="14873" max="14889" width="0" style="7" hidden="1" customWidth="1"/>
    <col min="14890" max="14890" width="11.42578125" style="7" bestFit="1" customWidth="1"/>
    <col min="14891" max="14891" width="12.42578125" style="7" bestFit="1" customWidth="1"/>
    <col min="14892" max="14892" width="9.7109375" style="7" bestFit="1" customWidth="1"/>
    <col min="14893" max="14894" width="3" style="7" bestFit="1" customWidth="1"/>
    <col min="14895" max="14895" width="9.140625" style="7"/>
    <col min="14896" max="14897" width="3" style="7" bestFit="1" customWidth="1"/>
    <col min="14898" max="15104" width="9.140625" style="7"/>
    <col min="15105" max="15105" width="3" style="7" bestFit="1" customWidth="1"/>
    <col min="15106" max="15106" width="19.28515625" style="7" bestFit="1" customWidth="1"/>
    <col min="15107" max="15107" width="11.42578125" style="7" bestFit="1" customWidth="1"/>
    <col min="15108" max="15108" width="13.5703125" style="7" bestFit="1" customWidth="1"/>
    <col min="15109" max="15109" width="9.42578125" style="7" bestFit="1" customWidth="1"/>
    <col min="15110" max="15110" width="3.85546875" style="7" bestFit="1" customWidth="1"/>
    <col min="15111" max="15111" width="6.42578125" style="7" bestFit="1" customWidth="1"/>
    <col min="15112" max="15112" width="4.5703125" style="7" bestFit="1" customWidth="1"/>
    <col min="15113" max="15113" width="8.28515625" style="7" bestFit="1" customWidth="1"/>
    <col min="15114" max="15114" width="12" style="7" bestFit="1" customWidth="1"/>
    <col min="15115" max="15115" width="5.42578125" style="7" customWidth="1"/>
    <col min="15116" max="15116" width="2.85546875" style="7" bestFit="1" customWidth="1"/>
    <col min="15117" max="15120" width="0" style="7" hidden="1" customWidth="1"/>
    <col min="15121" max="15122" width="3" style="7" bestFit="1" customWidth="1"/>
    <col min="15123" max="15123" width="7.42578125" style="7" bestFit="1" customWidth="1"/>
    <col min="15124" max="15125" width="0" style="7" hidden="1" customWidth="1"/>
    <col min="15126" max="15127" width="3" style="7" bestFit="1" customWidth="1"/>
    <col min="15128" max="15128" width="7.42578125" style="7" bestFit="1" customWidth="1"/>
    <col min="15129" max="15145" width="0" style="7" hidden="1" customWidth="1"/>
    <col min="15146" max="15146" width="11.42578125" style="7" bestFit="1" customWidth="1"/>
    <col min="15147" max="15147" width="12.42578125" style="7" bestFit="1" customWidth="1"/>
    <col min="15148" max="15148" width="9.7109375" style="7" bestFit="1" customWidth="1"/>
    <col min="15149" max="15150" width="3" style="7" bestFit="1" customWidth="1"/>
    <col min="15151" max="15151" width="9.140625" style="7"/>
    <col min="15152" max="15153" width="3" style="7" bestFit="1" customWidth="1"/>
    <col min="15154" max="15360" width="9.140625" style="7"/>
    <col min="15361" max="15361" width="3" style="7" bestFit="1" customWidth="1"/>
    <col min="15362" max="15362" width="19.28515625" style="7" bestFit="1" customWidth="1"/>
    <col min="15363" max="15363" width="11.42578125" style="7" bestFit="1" customWidth="1"/>
    <col min="15364" max="15364" width="13.5703125" style="7" bestFit="1" customWidth="1"/>
    <col min="15365" max="15365" width="9.42578125" style="7" bestFit="1" customWidth="1"/>
    <col min="15366" max="15366" width="3.85546875" style="7" bestFit="1" customWidth="1"/>
    <col min="15367" max="15367" width="6.42578125" style="7" bestFit="1" customWidth="1"/>
    <col min="15368" max="15368" width="4.5703125" style="7" bestFit="1" customWidth="1"/>
    <col min="15369" max="15369" width="8.28515625" style="7" bestFit="1" customWidth="1"/>
    <col min="15370" max="15370" width="12" style="7" bestFit="1" customWidth="1"/>
    <col min="15371" max="15371" width="5.42578125" style="7" customWidth="1"/>
    <col min="15372" max="15372" width="2.85546875" style="7" bestFit="1" customWidth="1"/>
    <col min="15373" max="15376" width="0" style="7" hidden="1" customWidth="1"/>
    <col min="15377" max="15378" width="3" style="7" bestFit="1" customWidth="1"/>
    <col min="15379" max="15379" width="7.42578125" style="7" bestFit="1" customWidth="1"/>
    <col min="15380" max="15381" width="0" style="7" hidden="1" customWidth="1"/>
    <col min="15382" max="15383" width="3" style="7" bestFit="1" customWidth="1"/>
    <col min="15384" max="15384" width="7.42578125" style="7" bestFit="1" customWidth="1"/>
    <col min="15385" max="15401" width="0" style="7" hidden="1" customWidth="1"/>
    <col min="15402" max="15402" width="11.42578125" style="7" bestFit="1" customWidth="1"/>
    <col min="15403" max="15403" width="12.42578125" style="7" bestFit="1" customWidth="1"/>
    <col min="15404" max="15404" width="9.7109375" style="7" bestFit="1" customWidth="1"/>
    <col min="15405" max="15406" width="3" style="7" bestFit="1" customWidth="1"/>
    <col min="15407" max="15407" width="9.140625" style="7"/>
    <col min="15408" max="15409" width="3" style="7" bestFit="1" customWidth="1"/>
    <col min="15410" max="15616" width="9.140625" style="7"/>
    <col min="15617" max="15617" width="3" style="7" bestFit="1" customWidth="1"/>
    <col min="15618" max="15618" width="19.28515625" style="7" bestFit="1" customWidth="1"/>
    <col min="15619" max="15619" width="11.42578125" style="7" bestFit="1" customWidth="1"/>
    <col min="15620" max="15620" width="13.5703125" style="7" bestFit="1" customWidth="1"/>
    <col min="15621" max="15621" width="9.42578125" style="7" bestFit="1" customWidth="1"/>
    <col min="15622" max="15622" width="3.85546875" style="7" bestFit="1" customWidth="1"/>
    <col min="15623" max="15623" width="6.42578125" style="7" bestFit="1" customWidth="1"/>
    <col min="15624" max="15624" width="4.5703125" style="7" bestFit="1" customWidth="1"/>
    <col min="15625" max="15625" width="8.28515625" style="7" bestFit="1" customWidth="1"/>
    <col min="15626" max="15626" width="12" style="7" bestFit="1" customWidth="1"/>
    <col min="15627" max="15627" width="5.42578125" style="7" customWidth="1"/>
    <col min="15628" max="15628" width="2.85546875" style="7" bestFit="1" customWidth="1"/>
    <col min="15629" max="15632" width="0" style="7" hidden="1" customWidth="1"/>
    <col min="15633" max="15634" width="3" style="7" bestFit="1" customWidth="1"/>
    <col min="15635" max="15635" width="7.42578125" style="7" bestFit="1" customWidth="1"/>
    <col min="15636" max="15637" width="0" style="7" hidden="1" customWidth="1"/>
    <col min="15638" max="15639" width="3" style="7" bestFit="1" customWidth="1"/>
    <col min="15640" max="15640" width="7.42578125" style="7" bestFit="1" customWidth="1"/>
    <col min="15641" max="15657" width="0" style="7" hidden="1" customWidth="1"/>
    <col min="15658" max="15658" width="11.42578125" style="7" bestFit="1" customWidth="1"/>
    <col min="15659" max="15659" width="12.42578125" style="7" bestFit="1" customWidth="1"/>
    <col min="15660" max="15660" width="9.7109375" style="7" bestFit="1" customWidth="1"/>
    <col min="15661" max="15662" width="3" style="7" bestFit="1" customWidth="1"/>
    <col min="15663" max="15663" width="9.140625" style="7"/>
    <col min="15664" max="15665" width="3" style="7" bestFit="1" customWidth="1"/>
    <col min="15666" max="15872" width="9.140625" style="7"/>
    <col min="15873" max="15873" width="3" style="7" bestFit="1" customWidth="1"/>
    <col min="15874" max="15874" width="19.28515625" style="7" bestFit="1" customWidth="1"/>
    <col min="15875" max="15875" width="11.42578125" style="7" bestFit="1" customWidth="1"/>
    <col min="15876" max="15876" width="13.5703125" style="7" bestFit="1" customWidth="1"/>
    <col min="15877" max="15877" width="9.42578125" style="7" bestFit="1" customWidth="1"/>
    <col min="15878" max="15878" width="3.85546875" style="7" bestFit="1" customWidth="1"/>
    <col min="15879" max="15879" width="6.42578125" style="7" bestFit="1" customWidth="1"/>
    <col min="15880" max="15880" width="4.5703125" style="7" bestFit="1" customWidth="1"/>
    <col min="15881" max="15881" width="8.28515625" style="7" bestFit="1" customWidth="1"/>
    <col min="15882" max="15882" width="12" style="7" bestFit="1" customWidth="1"/>
    <col min="15883" max="15883" width="5.42578125" style="7" customWidth="1"/>
    <col min="15884" max="15884" width="2.85546875" style="7" bestFit="1" customWidth="1"/>
    <col min="15885" max="15888" width="0" style="7" hidden="1" customWidth="1"/>
    <col min="15889" max="15890" width="3" style="7" bestFit="1" customWidth="1"/>
    <col min="15891" max="15891" width="7.42578125" style="7" bestFit="1" customWidth="1"/>
    <col min="15892" max="15893" width="0" style="7" hidden="1" customWidth="1"/>
    <col min="15894" max="15895" width="3" style="7" bestFit="1" customWidth="1"/>
    <col min="15896" max="15896" width="7.42578125" style="7" bestFit="1" customWidth="1"/>
    <col min="15897" max="15913" width="0" style="7" hidden="1" customWidth="1"/>
    <col min="15914" max="15914" width="11.42578125" style="7" bestFit="1" customWidth="1"/>
    <col min="15915" max="15915" width="12.42578125" style="7" bestFit="1" customWidth="1"/>
    <col min="15916" max="15916" width="9.7109375" style="7" bestFit="1" customWidth="1"/>
    <col min="15917" max="15918" width="3" style="7" bestFit="1" customWidth="1"/>
    <col min="15919" max="15919" width="9.140625" style="7"/>
    <col min="15920" max="15921" width="3" style="7" bestFit="1" customWidth="1"/>
    <col min="15922" max="16128" width="9.140625" style="7"/>
    <col min="16129" max="16129" width="3" style="7" bestFit="1" customWidth="1"/>
    <col min="16130" max="16130" width="19.28515625" style="7" bestFit="1" customWidth="1"/>
    <col min="16131" max="16131" width="11.42578125" style="7" bestFit="1" customWidth="1"/>
    <col min="16132" max="16132" width="13.5703125" style="7" bestFit="1" customWidth="1"/>
    <col min="16133" max="16133" width="9.42578125" style="7" bestFit="1" customWidth="1"/>
    <col min="16134" max="16134" width="3.85546875" style="7" bestFit="1" customWidth="1"/>
    <col min="16135" max="16135" width="6.42578125" style="7" bestFit="1" customWidth="1"/>
    <col min="16136" max="16136" width="4.5703125" style="7" bestFit="1" customWidth="1"/>
    <col min="16137" max="16137" width="8.28515625" style="7" bestFit="1" customWidth="1"/>
    <col min="16138" max="16138" width="12" style="7" bestFit="1" customWidth="1"/>
    <col min="16139" max="16139" width="5.42578125" style="7" customWidth="1"/>
    <col min="16140" max="16140" width="2.85546875" style="7" bestFit="1" customWidth="1"/>
    <col min="16141" max="16144" width="0" style="7" hidden="1" customWidth="1"/>
    <col min="16145" max="16146" width="3" style="7" bestFit="1" customWidth="1"/>
    <col min="16147" max="16147" width="7.42578125" style="7" bestFit="1" customWidth="1"/>
    <col min="16148" max="16149" width="0" style="7" hidden="1" customWidth="1"/>
    <col min="16150" max="16151" width="3" style="7" bestFit="1" customWidth="1"/>
    <col min="16152" max="16152" width="7.42578125" style="7" bestFit="1" customWidth="1"/>
    <col min="16153" max="16169" width="0" style="7" hidden="1" customWidth="1"/>
    <col min="16170" max="16170" width="11.42578125" style="7" bestFit="1" customWidth="1"/>
    <col min="16171" max="16171" width="12.42578125" style="7" bestFit="1" customWidth="1"/>
    <col min="16172" max="16172" width="9.7109375" style="7" bestFit="1" customWidth="1"/>
    <col min="16173" max="16174" width="3" style="7" bestFit="1" customWidth="1"/>
    <col min="16175" max="16175" width="9.140625" style="7"/>
    <col min="16176" max="16177" width="3" style="7" bestFit="1" customWidth="1"/>
    <col min="16178" max="16384" width="9.140625" style="7"/>
  </cols>
  <sheetData>
    <row r="1" spans="1:47" ht="31.5" customHeight="1" x14ac:dyDescent="0.25">
      <c r="A1" s="113" t="s">
        <v>121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47" x14ac:dyDescent="0.25">
      <c r="A2" s="113" t="s">
        <v>122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47" s="5" customFormat="1" x14ac:dyDescent="0.25">
      <c r="A3" s="114" t="s">
        <v>123</v>
      </c>
      <c r="B3" s="114"/>
      <c r="C3" s="4">
        <v>8</v>
      </c>
      <c r="K3" s="2"/>
      <c r="L3" s="7"/>
      <c r="M3" s="6">
        <f>VLOOKUP(C3,A6:J46,3,0)</f>
        <v>6378136</v>
      </c>
      <c r="N3" s="6">
        <f>VLOOKUP(C3,A6:J46,4,0)</f>
        <v>3.3528037351842955E-3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>
        <f>VLOOKUP(C3,A6:J46,5,0)</f>
        <v>39</v>
      </c>
      <c r="AA3" s="6"/>
      <c r="AB3" s="6"/>
      <c r="AC3" s="6"/>
      <c r="AD3" s="6"/>
      <c r="AE3" s="6"/>
      <c r="AF3" s="6"/>
      <c r="AG3" s="6"/>
      <c r="AH3" s="6"/>
      <c r="AI3" s="6"/>
      <c r="AJ3" s="6">
        <f>VLOOKUP(C3,A6:J46,8,0)</f>
        <v>7</v>
      </c>
      <c r="AK3" s="6">
        <f>VLOOKUP(C3,A6:J46,10,0)</f>
        <v>0</v>
      </c>
      <c r="AL3" s="6">
        <f>VLOOKUP(C3,A6:J46,9,0)</f>
        <v>500000</v>
      </c>
      <c r="AM3" s="6">
        <f>VLOOKUP(C3,A6:J46,7,0)</f>
        <v>1</v>
      </c>
      <c r="AN3" s="7"/>
      <c r="AO3" s="7"/>
      <c r="AP3" s="7"/>
      <c r="AQ3" s="7"/>
    </row>
    <row r="4" spans="1:47" ht="15.75" thickBot="1" x14ac:dyDescent="0.3">
      <c r="A4" s="115" t="s">
        <v>5</v>
      </c>
      <c r="B4" s="115"/>
      <c r="C4" s="115"/>
      <c r="D4" s="115"/>
      <c r="E4" s="115"/>
      <c r="F4" s="115"/>
      <c r="G4" s="115"/>
      <c r="H4" s="115"/>
      <c r="I4" s="115"/>
      <c r="J4" s="11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7" ht="15.75" thickBo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L5" s="10" t="s">
        <v>6</v>
      </c>
      <c r="M5" s="16" t="s">
        <v>33</v>
      </c>
      <c r="N5" s="16" t="s">
        <v>9</v>
      </c>
      <c r="O5" s="16" t="s">
        <v>35</v>
      </c>
      <c r="P5" s="17" t="s">
        <v>51</v>
      </c>
      <c r="Q5" s="18" t="s">
        <v>52</v>
      </c>
      <c r="R5" s="16" t="s">
        <v>53</v>
      </c>
      <c r="S5" s="16" t="s">
        <v>54</v>
      </c>
      <c r="T5" s="16" t="s">
        <v>55</v>
      </c>
      <c r="U5" s="16" t="s">
        <v>57</v>
      </c>
      <c r="V5" s="16" t="s">
        <v>59</v>
      </c>
      <c r="W5" s="16" t="s">
        <v>60</v>
      </c>
      <c r="X5" s="16" t="s">
        <v>61</v>
      </c>
      <c r="Y5" s="16" t="s">
        <v>58</v>
      </c>
      <c r="Z5" s="13" t="s">
        <v>32</v>
      </c>
      <c r="AA5" s="11" t="s">
        <v>56</v>
      </c>
      <c r="AB5" s="11" t="s">
        <v>34</v>
      </c>
      <c r="AC5" s="11" t="s">
        <v>36</v>
      </c>
      <c r="AD5" s="11" t="s">
        <v>86</v>
      </c>
      <c r="AE5" s="11" t="s">
        <v>37</v>
      </c>
      <c r="AF5" s="11" t="s">
        <v>87</v>
      </c>
      <c r="AG5" s="11" t="s">
        <v>88</v>
      </c>
      <c r="AH5" s="11" t="s">
        <v>89</v>
      </c>
      <c r="AI5" s="11" t="s">
        <v>90</v>
      </c>
      <c r="AJ5" s="11" t="s">
        <v>29</v>
      </c>
      <c r="AK5" s="11" t="s">
        <v>27</v>
      </c>
      <c r="AL5" s="11" t="s">
        <v>28</v>
      </c>
      <c r="AM5" s="11" t="s">
        <v>19</v>
      </c>
      <c r="AN5" s="11" t="s">
        <v>91</v>
      </c>
      <c r="AO5" s="14" t="s">
        <v>92</v>
      </c>
      <c r="AP5" s="10" t="s">
        <v>24</v>
      </c>
      <c r="AQ5" s="12" t="s">
        <v>25</v>
      </c>
    </row>
    <row r="6" spans="1:47" x14ac:dyDescent="0.25">
      <c r="A6" s="4">
        <v>1</v>
      </c>
      <c r="B6" s="4" t="s">
        <v>93</v>
      </c>
      <c r="C6" s="20">
        <v>6378245</v>
      </c>
      <c r="D6" s="21">
        <f t="shared" ref="D6:D11" si="0">1/298.3</f>
        <v>3.352329869259135E-3</v>
      </c>
      <c r="E6" s="22">
        <v>39</v>
      </c>
      <c r="F6" s="4">
        <v>0</v>
      </c>
      <c r="G6" s="24">
        <v>1</v>
      </c>
      <c r="H6" s="4">
        <v>7</v>
      </c>
      <c r="I6" s="4">
        <v>500000</v>
      </c>
      <c r="J6" s="20">
        <v>0</v>
      </c>
      <c r="L6" s="25">
        <v>1</v>
      </c>
      <c r="M6" s="29">
        <f t="shared" ref="M6:N9" si="1">M$3</f>
        <v>6378136</v>
      </c>
      <c r="N6" s="29">
        <f t="shared" si="1"/>
        <v>3.3528037351842955E-3</v>
      </c>
      <c r="O6" s="29">
        <f>2*N6-N6^2</f>
        <v>6.6943661774819252E-3</v>
      </c>
      <c r="P6" s="48">
        <f>RADIANS(T6)</f>
        <v>0.9717654865458738</v>
      </c>
      <c r="Q6" s="25">
        <v>55</v>
      </c>
      <c r="R6" s="108">
        <v>40</v>
      </c>
      <c r="S6" s="109">
        <v>41.019799999999996</v>
      </c>
      <c r="T6" s="29">
        <f>Q6+R6/60+S6/3600</f>
        <v>55.678061055555553</v>
      </c>
      <c r="U6" s="29">
        <f>RADIANS(Y6)</f>
        <v>0.6629592827202192</v>
      </c>
      <c r="V6" s="108">
        <v>37</v>
      </c>
      <c r="W6" s="108">
        <v>59</v>
      </c>
      <c r="X6" s="109">
        <v>5.1680000000000001</v>
      </c>
      <c r="Y6" s="29">
        <f>V6+W6/60+X6/3600</f>
        <v>37.984768888888887</v>
      </c>
      <c r="Z6" s="28">
        <f>Z$3</f>
        <v>39</v>
      </c>
      <c r="AA6" s="29">
        <f>RADIANS(Y6-Z6)</f>
        <v>-1.7719125557569312E-2</v>
      </c>
      <c r="AB6" s="29">
        <f>M6-M6*N6</f>
        <v>6356751.3617956862</v>
      </c>
      <c r="AC6" s="29">
        <f>(M6^2-AB6^2)/AB6^2</f>
        <v>6.7394827428091915E-3</v>
      </c>
      <c r="AD6" s="49">
        <f>AC6*(COS(P6))^2</f>
        <v>2.1426040129992863E-3</v>
      </c>
      <c r="AE6" s="30">
        <f>M6/((1-O6*((SIN(P6))^2))^0.5)</f>
        <v>6392747.6789983921</v>
      </c>
      <c r="AF6" s="29">
        <f>1+O6*3/4+(O6^2)*45/64+(O6^3)*175/256</f>
        <v>1.0050524899370028</v>
      </c>
      <c r="AG6" s="29">
        <f>-O6*3/8-(O6^2)*15/32-(O6^3)*525/1024</f>
        <v>-2.5315479426079421E-3</v>
      </c>
      <c r="AH6" s="29">
        <f>(O6^2)*15/256+(O6^3)*105/1024</f>
        <v>2.6566140906630821E-6</v>
      </c>
      <c r="AI6" s="29">
        <f>-(O6^3)*35/3072</f>
        <v>-3.418024929053626E-9</v>
      </c>
      <c r="AJ6" s="29">
        <f t="shared" ref="AJ6:AM9" si="2">AJ$3</f>
        <v>7</v>
      </c>
      <c r="AK6" s="29">
        <f t="shared" si="2"/>
        <v>0</v>
      </c>
      <c r="AL6" s="29">
        <f t="shared" si="2"/>
        <v>500000</v>
      </c>
      <c r="AM6" s="29">
        <f t="shared" si="2"/>
        <v>1</v>
      </c>
      <c r="AN6" s="50">
        <f>M6*(1-O6)*(AF6*P6+AG6*SIN(2*P6)+AH6*SIN(4*P6)+AI6*SIN(6*P6))</f>
        <v>6172717.7686840305</v>
      </c>
      <c r="AO6" s="34">
        <f>(AE6*(COS(P6)*AA6*((1+((AA6^2)*((COS(P6))^2)/6)*(1-((TAN(P6))^2)+AD6)+((AA6^4)*((COS(P6))^4)/120)*(5-18*((TAN(P6))^2)+((TAN(P6))^4)+14*AD6-58*AD6*((TAN(P6))^2))))))*AM6</f>
        <v>-63867.403642785895</v>
      </c>
      <c r="AP6" s="40">
        <f>(AN6+((AE6*(COS(P6))*(SIN(P6))*AA6^2)/2)*(1+((AA6^2)*((COS(P6))^2)/12)*(5-(TAN(P6))^2+9*AD6)+((AA6^4)*((COS(P6))^4)/360)*(61-58*(TAN(P6))^2+(TAN(P6))^4)))*AM6+AK6</f>
        <v>6173185.1038201014</v>
      </c>
      <c r="AQ6" s="42">
        <f>AO6+AL6+AJ6*1000000</f>
        <v>7436132.5963572143</v>
      </c>
    </row>
    <row r="7" spans="1:47" x14ac:dyDescent="0.25">
      <c r="A7" s="4">
        <v>2</v>
      </c>
      <c r="B7" s="4" t="s">
        <v>95</v>
      </c>
      <c r="C7" s="20">
        <v>6378245</v>
      </c>
      <c r="D7" s="21">
        <f t="shared" si="0"/>
        <v>3.352329869259135E-3</v>
      </c>
      <c r="E7" s="22">
        <v>39</v>
      </c>
      <c r="F7" s="4">
        <v>0</v>
      </c>
      <c r="G7" s="24">
        <v>1</v>
      </c>
      <c r="H7" s="4">
        <v>7</v>
      </c>
      <c r="I7" s="4">
        <v>500000</v>
      </c>
      <c r="J7" s="20">
        <v>0</v>
      </c>
      <c r="L7" s="25">
        <v>1</v>
      </c>
      <c r="M7" s="29">
        <f t="shared" si="1"/>
        <v>6378136</v>
      </c>
      <c r="N7" s="29">
        <f t="shared" si="1"/>
        <v>3.3528037351842955E-3</v>
      </c>
      <c r="O7" s="29">
        <f>2*N7-N7^2</f>
        <v>6.6943661774819252E-3</v>
      </c>
      <c r="P7" s="48">
        <f>RADIANS(T7)</f>
        <v>0.96481255004597499</v>
      </c>
      <c r="Q7" s="25">
        <v>55</v>
      </c>
      <c r="R7" s="108">
        <v>16</v>
      </c>
      <c r="S7" s="109">
        <v>46.873699999999999</v>
      </c>
      <c r="T7" s="29">
        <f>Q7+R7/60+S7/3600</f>
        <v>55.279687138888889</v>
      </c>
      <c r="U7" s="29">
        <f>RADIANS(Y7)</f>
        <v>0.6496791955844694</v>
      </c>
      <c r="V7" s="108">
        <v>37</v>
      </c>
      <c r="W7" s="108">
        <v>13</v>
      </c>
      <c r="X7" s="109">
        <v>25.953399999999998</v>
      </c>
      <c r="Y7" s="29">
        <f>V7+W7/60+X7/3600</f>
        <v>37.223875944444444</v>
      </c>
      <c r="Z7" s="28">
        <f>Z$3</f>
        <v>39</v>
      </c>
      <c r="AA7" s="29">
        <f>RADIANS(Y7-Z7)</f>
        <v>-3.0999212693319136E-2</v>
      </c>
      <c r="AB7" s="29">
        <f>M7-M7*N7</f>
        <v>6356751.3617956862</v>
      </c>
      <c r="AC7" s="29">
        <f>(M7^2-AB7^2)/AB7^2</f>
        <v>6.7394827428091915E-3</v>
      </c>
      <c r="AD7" s="49">
        <f>AC7*(COS(P7))^2</f>
        <v>2.1863628598880296E-3</v>
      </c>
      <c r="AE7" s="30">
        <f>M7/((1-O7*((SIN(P7))^2))^0.5)</f>
        <v>6392608.1129800808</v>
      </c>
      <c r="AF7" s="29">
        <f>1+O7*3/4+(O7^2)*45/64+(O7^3)*175/256</f>
        <v>1.0050524899370028</v>
      </c>
      <c r="AG7" s="29">
        <f>-O7*3/8-(O7^2)*15/32-(O7^3)*525/1024</f>
        <v>-2.5315479426079421E-3</v>
      </c>
      <c r="AH7" s="29">
        <f>(O7^2)*15/256+(O7^3)*105/1024</f>
        <v>2.6566140906630821E-6</v>
      </c>
      <c r="AI7" s="29">
        <f>-(O7^3)*35/3072</f>
        <v>-3.418024929053626E-9</v>
      </c>
      <c r="AJ7" s="29">
        <f t="shared" si="2"/>
        <v>7</v>
      </c>
      <c r="AK7" s="29">
        <f t="shared" si="2"/>
        <v>0</v>
      </c>
      <c r="AL7" s="29">
        <f t="shared" si="2"/>
        <v>500000</v>
      </c>
      <c r="AM7" s="29">
        <f t="shared" si="2"/>
        <v>1</v>
      </c>
      <c r="AN7" s="50">
        <f>M7*(1-O7)*(AF7*P7+AG7*SIN(2*P7)+AH7*SIN(4*P7)+AI7*SIN(6*P7))</f>
        <v>6128365.8828802463</v>
      </c>
      <c r="AO7" s="34">
        <f>(AE7*(COS(P7)*AA7*((1+((AA7^2)*((COS(P7))^2)/6)*(1-((TAN(P7))^2)+AD7)+((AA7^4)*((COS(P7))^4)/120)*(5-18*((TAN(P7))^2)+((TAN(P7))^4)+14*AD7-58*AD7*((TAN(P7))^2))))))*AM7</f>
        <v>-112863.15736607114</v>
      </c>
      <c r="AP7" s="40">
        <f>(AN7+((AE7*(COS(P7))*(SIN(P7))*AA7^2)/2)*(1+((AA7^2)*((COS(P7))^2)/12)*(5-(TAN(P7))^2+9*AD7)+((AA7^4)*((COS(P7))^4)/360)*(61-58*(TAN(P7))^2+(TAN(P7))^4)))*AM7+AK7</f>
        <v>6129803.9251173018</v>
      </c>
      <c r="AQ7" s="42">
        <f>AO7+AL7+AJ7*1000000</f>
        <v>7387136.8426339291</v>
      </c>
    </row>
    <row r="8" spans="1:47" x14ac:dyDescent="0.25">
      <c r="A8" s="4">
        <v>3</v>
      </c>
      <c r="B8" s="4" t="s">
        <v>97</v>
      </c>
      <c r="C8" s="20">
        <v>6378245</v>
      </c>
      <c r="D8" s="21">
        <f t="shared" si="0"/>
        <v>3.352329869259135E-3</v>
      </c>
      <c r="E8" s="22">
        <v>35.5</v>
      </c>
      <c r="F8" s="4">
        <v>0</v>
      </c>
      <c r="G8" s="24">
        <v>1</v>
      </c>
      <c r="H8" s="4">
        <v>2</v>
      </c>
      <c r="I8" s="4">
        <v>250000</v>
      </c>
      <c r="J8" s="20">
        <v>-12900</v>
      </c>
      <c r="L8" s="25">
        <v>1</v>
      </c>
      <c r="M8" s="29">
        <f t="shared" si="1"/>
        <v>6378136</v>
      </c>
      <c r="N8" s="29">
        <f t="shared" si="1"/>
        <v>3.3528037351842955E-3</v>
      </c>
      <c r="O8" s="29">
        <f>2*N8-N8^2</f>
        <v>6.6943661774819252E-3</v>
      </c>
      <c r="P8" s="48">
        <f>RADIANS(T8)</f>
        <v>0.97060977411806193</v>
      </c>
      <c r="Q8" s="25">
        <v>55</v>
      </c>
      <c r="R8" s="108">
        <v>36</v>
      </c>
      <c r="S8" s="109">
        <v>42.637</v>
      </c>
      <c r="T8" s="29">
        <f>Q8+R8/60+S8/3600</f>
        <v>55.611843611111112</v>
      </c>
      <c r="U8" s="29">
        <f>RADIANS(Y8)</f>
        <v>0.64163182613642344</v>
      </c>
      <c r="V8" s="108">
        <v>36</v>
      </c>
      <c r="W8" s="108">
        <v>45</v>
      </c>
      <c r="X8" s="109">
        <v>46.064300000000003</v>
      </c>
      <c r="Y8" s="29">
        <f>V8+W8/60+X8/3600</f>
        <v>36.762795638888889</v>
      </c>
      <c r="Z8" s="28">
        <f>Z$3</f>
        <v>39</v>
      </c>
      <c r="AA8" s="29">
        <f>RADIANS(Y8-Z8)</f>
        <v>-3.9046582141365076E-2</v>
      </c>
      <c r="AB8" s="29">
        <f>M8-M8*N8</f>
        <v>6356751.3617956862</v>
      </c>
      <c r="AC8" s="29">
        <f>(M8^2-AB8^2)/AB8^2</f>
        <v>6.7394827428091915E-3</v>
      </c>
      <c r="AD8" s="49">
        <f>AC8*(COS(P8))^2</f>
        <v>2.1498613632845191E-3</v>
      </c>
      <c r="AE8" s="30">
        <f>M8/((1-O8*((SIN(P8))^2))^0.5)</f>
        <v>6392724.5315156784</v>
      </c>
      <c r="AF8" s="29">
        <f>1+O8*3/4+(O8^2)*45/64+(O8^3)*175/256</f>
        <v>1.0050524899370028</v>
      </c>
      <c r="AG8" s="29">
        <f>-O8*3/8-(O8^2)*15/32-(O8^3)*525/1024</f>
        <v>-2.5315479426079421E-3</v>
      </c>
      <c r="AH8" s="29">
        <f>(O8^2)*15/256+(O8^3)*105/1024</f>
        <v>2.6566140906630821E-6</v>
      </c>
      <c r="AI8" s="29">
        <f>-(O8^3)*35/3072</f>
        <v>-3.418024929053626E-9</v>
      </c>
      <c r="AJ8" s="29">
        <f t="shared" si="2"/>
        <v>7</v>
      </c>
      <c r="AK8" s="29">
        <f t="shared" si="2"/>
        <v>0</v>
      </c>
      <c r="AL8" s="29">
        <f t="shared" si="2"/>
        <v>500000</v>
      </c>
      <c r="AM8" s="29">
        <f t="shared" si="2"/>
        <v>1</v>
      </c>
      <c r="AN8" s="50">
        <f>M8*(1-O8)*(AF8*P8+AG8*SIN(2*P8)+AH8*SIN(4*P8)+AI8*SIN(6*P8))</f>
        <v>6165345.4268822419</v>
      </c>
      <c r="AO8" s="34">
        <f>(AE8*(COS(P8)*AA8*((1+((AA8^2)*((COS(P8))^2)/6)*(1-((TAN(P8))^2)+AD8)+((AA8^4)*((COS(P8))^4)/120)*(5-18*((TAN(P8))^2)+((TAN(P8))^4)+14*AD8-58*AD8*((TAN(P8))^2))))))*AM8</f>
        <v>-140968.16897922047</v>
      </c>
      <c r="AP8" s="40">
        <f>(AN8+((AE8*(COS(P8))*(SIN(P8))*AA8^2)/2)*(1+((AA8^2)*((COS(P8))^2)/12)*(5-(TAN(P8))^2+9*AD8)+((AA8^4)*((COS(P8))^4)/360)*(61-58*(TAN(P8))^2+(TAN(P8))^4)))*AM8+AK8</f>
        <v>6167617.0688778143</v>
      </c>
      <c r="AQ8" s="42">
        <f>AO8+AL8+AJ8*1000000</f>
        <v>7359031.8310207799</v>
      </c>
    </row>
    <row r="9" spans="1:47" x14ac:dyDescent="0.25">
      <c r="A9" s="4">
        <v>4</v>
      </c>
      <c r="B9" s="4" t="s">
        <v>98</v>
      </c>
      <c r="C9" s="20">
        <v>6378245</v>
      </c>
      <c r="D9" s="21">
        <f t="shared" si="0"/>
        <v>3.352329869259135E-3</v>
      </c>
      <c r="E9" s="22">
        <v>38.5</v>
      </c>
      <c r="F9" s="4">
        <v>0</v>
      </c>
      <c r="G9" s="24">
        <v>1</v>
      </c>
      <c r="H9" s="4">
        <v>3</v>
      </c>
      <c r="I9" s="4">
        <v>250000</v>
      </c>
      <c r="J9" s="20">
        <v>-12900</v>
      </c>
      <c r="L9" s="25">
        <v>1</v>
      </c>
      <c r="M9" s="29">
        <f t="shared" si="1"/>
        <v>6378136</v>
      </c>
      <c r="N9" s="29">
        <f t="shared" si="1"/>
        <v>3.3528037351842955E-3</v>
      </c>
      <c r="O9" s="29">
        <f>2*N9-N9^2</f>
        <v>6.6943661774819252E-3</v>
      </c>
      <c r="P9" s="48">
        <f>RADIANS(T9)</f>
        <v>0.97511103401252863</v>
      </c>
      <c r="Q9" s="25">
        <v>55</v>
      </c>
      <c r="R9" s="108">
        <v>52</v>
      </c>
      <c r="S9" s="109">
        <v>11.0885</v>
      </c>
      <c r="T9" s="29">
        <f>Q9+R9/60+S9/3600</f>
        <v>55.869746805555558</v>
      </c>
      <c r="U9" s="29">
        <f>RADIANS(Y9)</f>
        <v>0.65475710596121717</v>
      </c>
      <c r="V9" s="108">
        <v>37</v>
      </c>
      <c r="W9" s="108">
        <v>30</v>
      </c>
      <c r="X9" s="109">
        <v>53.3476</v>
      </c>
      <c r="Y9" s="29">
        <f>V9+W9/60+X9/3600</f>
        <v>37.514818777777776</v>
      </c>
      <c r="Z9" s="28">
        <f>Z$3</f>
        <v>39</v>
      </c>
      <c r="AA9" s="29">
        <f>RADIANS(Y9-Z9)</f>
        <v>-2.5921302316571377E-2</v>
      </c>
      <c r="AB9" s="29">
        <f>M9-M9*N9</f>
        <v>6356751.3617956862</v>
      </c>
      <c r="AC9" s="29">
        <f>(M9^2-AB9^2)/AB9^2</f>
        <v>6.7394827428091915E-3</v>
      </c>
      <c r="AD9" s="49">
        <f>AC9*(COS(P9))^2</f>
        <v>2.1216325883355778E-3</v>
      </c>
      <c r="AE9" s="30">
        <f>M9/((1-O9*((SIN(P9))^2))^0.5)</f>
        <v>6392814.5692443447</v>
      </c>
      <c r="AF9" s="29">
        <f>1+O9*3/4+(O9^2)*45/64+(O9^3)*175/256</f>
        <v>1.0050524899370028</v>
      </c>
      <c r="AG9" s="29">
        <f>-O9*3/8-(O9^2)*15/32-(O9^3)*525/1024</f>
        <v>-2.5315479426079421E-3</v>
      </c>
      <c r="AH9" s="29">
        <f>(O9^2)*15/256+(O9^3)*105/1024</f>
        <v>2.6566140906630821E-6</v>
      </c>
      <c r="AI9" s="29">
        <f>-(O9^3)*35/3072</f>
        <v>-3.418024929053626E-9</v>
      </c>
      <c r="AJ9" s="29">
        <f t="shared" si="2"/>
        <v>7</v>
      </c>
      <c r="AK9" s="29">
        <f t="shared" si="2"/>
        <v>0</v>
      </c>
      <c r="AL9" s="29">
        <f t="shared" si="2"/>
        <v>500000</v>
      </c>
      <c r="AM9" s="29">
        <f t="shared" si="2"/>
        <v>1</v>
      </c>
      <c r="AN9" s="50">
        <f>M9*(1-O9)*(AF9*P9+AG9*SIN(2*P9)+AH9*SIN(4*P9)+AI9*SIN(6*P9))</f>
        <v>6194059.6181562394</v>
      </c>
      <c r="AO9" s="34">
        <f>(AE9*(COS(P9)*AA9*((1+((AA9^2)*((COS(P9))^2)/6)*(1-((TAN(P9))^2)+AD9)+((AA9^4)*((COS(P9))^4)/120)*(5-18*((TAN(P9))^2)+((TAN(P9))^4)+14*AD9-58*AD9*((TAN(P9))^2))))))*AM9</f>
        <v>-92972.122170987917</v>
      </c>
      <c r="AP9" s="40">
        <f>(AN9+((AE9*(COS(P9))*(SIN(P9))*AA9^2)/2)*(1+((AA9^2)*((COS(P9))^2)/12)*(5-(TAN(P9))^2+9*AD9)+((AA9^4)*((COS(P9))^4)/360)*(61-58*(TAN(P9))^2+(TAN(P9))^4)))*AM9+AK9</f>
        <v>6195057.1481067343</v>
      </c>
      <c r="AQ9" s="42">
        <f>AO9+AL9+AJ9*1000000</f>
        <v>7407027.8778290125</v>
      </c>
    </row>
    <row r="10" spans="1:47" x14ac:dyDescent="0.25">
      <c r="A10" s="4">
        <v>5</v>
      </c>
      <c r="B10" s="4" t="s">
        <v>99</v>
      </c>
      <c r="C10" s="20">
        <v>6378245</v>
      </c>
      <c r="D10" s="21">
        <f t="shared" si="0"/>
        <v>3.352329869259135E-3</v>
      </c>
      <c r="E10" s="22">
        <v>35.5</v>
      </c>
      <c r="F10" s="4">
        <v>0</v>
      </c>
      <c r="G10" s="24">
        <v>1</v>
      </c>
      <c r="H10" s="4">
        <v>1</v>
      </c>
      <c r="I10" s="4">
        <v>250000</v>
      </c>
      <c r="J10" s="20">
        <v>-5712900</v>
      </c>
    </row>
    <row r="11" spans="1:47" x14ac:dyDescent="0.25">
      <c r="A11" s="4">
        <v>6</v>
      </c>
      <c r="B11" s="4" t="s">
        <v>100</v>
      </c>
      <c r="C11" s="20">
        <v>6378245</v>
      </c>
      <c r="D11" s="21">
        <f t="shared" si="0"/>
        <v>3.352329869259135E-3</v>
      </c>
      <c r="E11" s="22">
        <v>38.5</v>
      </c>
      <c r="F11" s="4">
        <v>0</v>
      </c>
      <c r="G11" s="24">
        <v>1</v>
      </c>
      <c r="H11" s="4">
        <v>2</v>
      </c>
      <c r="I11" s="4">
        <v>250000</v>
      </c>
      <c r="J11" s="20">
        <v>-5712900</v>
      </c>
    </row>
    <row r="12" spans="1:47" x14ac:dyDescent="0.25">
      <c r="A12" s="4">
        <v>7</v>
      </c>
      <c r="B12" s="4" t="s">
        <v>101</v>
      </c>
      <c r="C12" s="20">
        <v>6378137</v>
      </c>
      <c r="D12" s="21">
        <f>1/298.257223563</f>
        <v>3.3528106647474805E-3</v>
      </c>
      <c r="E12" s="22">
        <v>39</v>
      </c>
      <c r="F12" s="4">
        <v>0</v>
      </c>
      <c r="G12" s="24">
        <v>0.99960000000000004</v>
      </c>
      <c r="H12" s="4">
        <v>37</v>
      </c>
      <c r="I12" s="4">
        <v>500000</v>
      </c>
      <c r="J12" s="20">
        <v>0</v>
      </c>
    </row>
    <row r="13" spans="1:47" x14ac:dyDescent="0.25">
      <c r="A13" s="4">
        <v>8</v>
      </c>
      <c r="B13" s="4" t="s">
        <v>102</v>
      </c>
      <c r="C13" s="20">
        <v>6378136</v>
      </c>
      <c r="D13" s="21">
        <f>1/298.25784</f>
        <v>3.3528037351842955E-3</v>
      </c>
      <c r="E13" s="22">
        <v>39</v>
      </c>
      <c r="F13" s="4">
        <v>0</v>
      </c>
      <c r="G13" s="24">
        <v>1</v>
      </c>
      <c r="H13" s="4">
        <v>7</v>
      </c>
      <c r="I13" s="4">
        <v>500000</v>
      </c>
      <c r="J13" s="20">
        <v>0</v>
      </c>
      <c r="AT13" s="77"/>
      <c r="AU13" s="77"/>
    </row>
    <row r="14" spans="1:47" x14ac:dyDescent="0.25">
      <c r="A14" s="4">
        <v>9</v>
      </c>
      <c r="B14" s="4" t="s">
        <v>104</v>
      </c>
      <c r="C14" s="20">
        <v>6378136</v>
      </c>
      <c r="D14" s="21">
        <f>1/298.25784</f>
        <v>3.3528037351842955E-3</v>
      </c>
      <c r="E14" s="22">
        <v>39</v>
      </c>
      <c r="F14" s="4">
        <v>0</v>
      </c>
      <c r="G14" s="24">
        <v>1</v>
      </c>
      <c r="H14" s="4">
        <v>7</v>
      </c>
      <c r="I14" s="4">
        <v>500000</v>
      </c>
      <c r="J14" s="20">
        <v>0</v>
      </c>
      <c r="AT14" s="77"/>
      <c r="AU14" s="77"/>
    </row>
    <row r="15" spans="1:47" x14ac:dyDescent="0.25">
      <c r="A15" s="4"/>
      <c r="B15" s="4"/>
      <c r="C15" s="4"/>
      <c r="D15" s="4"/>
      <c r="E15" s="24"/>
      <c r="F15" s="4"/>
      <c r="G15" s="24"/>
      <c r="H15" s="4"/>
      <c r="I15" s="4"/>
      <c r="J15" s="84"/>
    </row>
    <row r="16" spans="1:4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34" spans="10:10" x14ac:dyDescent="0.25">
      <c r="J34" s="81"/>
    </row>
    <row r="35" spans="10:10" x14ac:dyDescent="0.25">
      <c r="J35" s="81"/>
    </row>
    <row r="36" spans="10:10" x14ac:dyDescent="0.25">
      <c r="J36" s="81"/>
    </row>
    <row r="37" spans="10:10" x14ac:dyDescent="0.25">
      <c r="J37" s="81"/>
    </row>
    <row r="38" spans="10:10" x14ac:dyDescent="0.25">
      <c r="J38" s="81"/>
    </row>
    <row r="39" spans="10:10" x14ac:dyDescent="0.25">
      <c r="J39" s="81"/>
    </row>
    <row r="40" spans="10:10" x14ac:dyDescent="0.25">
      <c r="J40" s="81"/>
    </row>
    <row r="41" spans="10:10" x14ac:dyDescent="0.25">
      <c r="J41" s="81"/>
    </row>
    <row r="42" spans="10:10" x14ac:dyDescent="0.25">
      <c r="J42" s="81"/>
    </row>
    <row r="43" spans="10:10" x14ac:dyDescent="0.25">
      <c r="J43" s="81"/>
    </row>
    <row r="44" spans="10:10" x14ac:dyDescent="0.25">
      <c r="J44" s="81"/>
    </row>
    <row r="45" spans="10:10" x14ac:dyDescent="0.25">
      <c r="J45" s="81"/>
    </row>
    <row r="46" spans="10:10" x14ac:dyDescent="0.25">
      <c r="J46" s="81"/>
    </row>
    <row r="47" spans="10:10" x14ac:dyDescent="0.25">
      <c r="J47" s="81"/>
    </row>
    <row r="48" spans="10:10" x14ac:dyDescent="0.25">
      <c r="J48" s="81"/>
    </row>
    <row r="49" spans="10:10" x14ac:dyDescent="0.25">
      <c r="J49" s="81"/>
    </row>
    <row r="50" spans="10:10" x14ac:dyDescent="0.25">
      <c r="J50" s="81"/>
    </row>
    <row r="51" spans="10:10" x14ac:dyDescent="0.25">
      <c r="J51" s="81"/>
    </row>
    <row r="52" spans="10:10" x14ac:dyDescent="0.25">
      <c r="J52" s="81"/>
    </row>
    <row r="53" spans="10:10" x14ac:dyDescent="0.25">
      <c r="J53" s="81"/>
    </row>
    <row r="54" spans="10:10" x14ac:dyDescent="0.25">
      <c r="J54" s="81"/>
    </row>
    <row r="55" spans="10:10" x14ac:dyDescent="0.25">
      <c r="J55" s="81"/>
    </row>
    <row r="56" spans="10:10" x14ac:dyDescent="0.25">
      <c r="J56" s="81"/>
    </row>
  </sheetData>
  <mergeCells count="4">
    <mergeCell ref="A1:J1"/>
    <mergeCell ref="A2:J2"/>
    <mergeCell ref="A3:B3"/>
    <mergeCell ref="A4:J4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E82"/>
  <sheetViews>
    <sheetView zoomScaleNormal="85" workbookViewId="0">
      <selection sqref="A1:Q1"/>
    </sheetView>
  </sheetViews>
  <sheetFormatPr defaultRowHeight="15" x14ac:dyDescent="0.25"/>
  <cols>
    <col min="1" max="1" width="3" style="3" bestFit="1" customWidth="1"/>
    <col min="2" max="2" width="19.28515625" style="3" bestFit="1" customWidth="1"/>
    <col min="3" max="3" width="11.42578125" style="3" bestFit="1" customWidth="1"/>
    <col min="4" max="4" width="13.5703125" style="3" bestFit="1" customWidth="1"/>
    <col min="5" max="6" width="8" style="3" bestFit="1" customWidth="1"/>
    <col min="7" max="7" width="7.42578125" style="3" bestFit="1" customWidth="1"/>
    <col min="8" max="11" width="10" style="3" bestFit="1" customWidth="1"/>
    <col min="12" max="12" width="9.42578125" style="3" bestFit="1" customWidth="1"/>
    <col min="13" max="13" width="3.85546875" style="3" bestFit="1" customWidth="1"/>
    <col min="14" max="14" width="6.42578125" style="3" bestFit="1" customWidth="1"/>
    <col min="15" max="15" width="4.5703125" style="3" bestFit="1" customWidth="1"/>
    <col min="16" max="16" width="8.28515625" style="3" bestFit="1" customWidth="1"/>
    <col min="17" max="17" width="12" style="3" bestFit="1" customWidth="1"/>
    <col min="18" max="18" width="79.5703125" style="3" bestFit="1" customWidth="1"/>
    <col min="19" max="19" width="5.42578125" style="2" customWidth="1"/>
    <col min="20" max="20" width="4.28515625" style="3" bestFit="1" customWidth="1"/>
    <col min="21" max="22" width="12" style="3" bestFit="1" customWidth="1"/>
    <col min="23" max="23" width="2.140625" style="3" bestFit="1" customWidth="1"/>
    <col min="24" max="24" width="7" style="3" hidden="1" customWidth="1"/>
    <col min="25" max="25" width="6.140625" style="3" hidden="1" customWidth="1"/>
    <col min="26" max="26" width="7" style="3" hidden="1" customWidth="1"/>
    <col min="27" max="27" width="3" style="3" hidden="1" customWidth="1"/>
    <col min="28" max="28" width="10.42578125" style="3" hidden="1" customWidth="1"/>
    <col min="29" max="29" width="10" style="3" hidden="1" customWidth="1"/>
    <col min="30" max="30" width="3" style="3" hidden="1" customWidth="1"/>
    <col min="31" max="31" width="8" style="3" hidden="1" customWidth="1"/>
    <col min="32" max="33" width="12" style="3" hidden="1" customWidth="1"/>
    <col min="34" max="34" width="11" style="3" hidden="1" customWidth="1"/>
    <col min="35" max="35" width="12.42578125" style="3" hidden="1" customWidth="1"/>
    <col min="36" max="36" width="11.42578125" style="3" hidden="1" customWidth="1"/>
    <col min="37" max="41" width="12" style="3" hidden="1" customWidth="1"/>
    <col min="42" max="42" width="11.7109375" style="3" hidden="1" customWidth="1"/>
    <col min="43" max="43" width="12" style="3" hidden="1" customWidth="1"/>
    <col min="44" max="45" width="11.7109375" style="3" hidden="1" customWidth="1"/>
    <col min="46" max="50" width="12" style="3" hidden="1" customWidth="1"/>
    <col min="51" max="52" width="3" style="3" customWidth="1"/>
    <col min="53" max="53" width="7.42578125" style="3" customWidth="1"/>
    <col min="54" max="54" width="13.5703125" style="3" hidden="1" customWidth="1"/>
    <col min="55" max="55" width="13.140625" style="3" hidden="1" customWidth="1"/>
    <col min="56" max="56" width="12.42578125" style="3" hidden="1" customWidth="1"/>
    <col min="57" max="57" width="13.5703125" style="3" hidden="1" customWidth="1"/>
    <col min="58" max="59" width="3" style="3" customWidth="1"/>
    <col min="60" max="60" width="7.42578125" style="3" customWidth="1"/>
    <col min="61" max="63" width="11.42578125" style="3" customWidth="1"/>
    <col min="64" max="66" width="8" style="3" hidden="1" customWidth="1"/>
    <col min="67" max="67" width="8.5703125" style="3" hidden="1" customWidth="1"/>
    <col min="68" max="69" width="9.5703125" style="3" hidden="1" customWidth="1"/>
    <col min="70" max="72" width="12.28515625" style="3" hidden="1" customWidth="1"/>
    <col min="73" max="73" width="8.5703125" style="3" hidden="1" customWidth="1"/>
    <col min="74" max="76" width="12" style="3" customWidth="1"/>
    <col min="77" max="79" width="8" style="3" hidden="1" customWidth="1"/>
    <col min="80" max="80" width="8.5703125" style="3" hidden="1" customWidth="1"/>
    <col min="81" max="82" width="9.5703125" style="3" hidden="1" customWidth="1"/>
    <col min="83" max="85" width="12.28515625" style="3" hidden="1" customWidth="1"/>
    <col min="86" max="86" width="8.5703125" style="3" hidden="1" customWidth="1"/>
    <col min="87" max="89" width="11.42578125" style="3" customWidth="1"/>
    <col min="90" max="99" width="12" style="3" hidden="1" customWidth="1"/>
    <col min="100" max="100" width="13.5703125" style="3" hidden="1" customWidth="1"/>
    <col min="101" max="101" width="12" style="3" hidden="1" customWidth="1"/>
    <col min="102" max="103" width="6.42578125" style="3" bestFit="1" customWidth="1"/>
    <col min="104" max="104" width="7.42578125" style="3" bestFit="1" customWidth="1"/>
    <col min="105" max="106" width="12" style="3" hidden="1" customWidth="1"/>
    <col min="107" max="107" width="6" style="3" hidden="1" customWidth="1"/>
    <col min="108" max="108" width="12" style="3" hidden="1" customWidth="1"/>
    <col min="109" max="110" width="3" style="3" bestFit="1" customWidth="1"/>
    <col min="111" max="111" width="7.42578125" style="3" bestFit="1" customWidth="1"/>
    <col min="112" max="112" width="12" style="3" hidden="1" customWidth="1"/>
    <col min="113" max="113" width="6.42578125" style="3" bestFit="1" customWidth="1"/>
    <col min="114" max="114" width="3" style="3" hidden="1" customWidth="1"/>
    <col min="115" max="115" width="12.5703125" style="3" hidden="1" customWidth="1"/>
    <col min="116" max="117" width="12" style="3" hidden="1" customWidth="1"/>
    <col min="118" max="119" width="10.42578125" style="3" hidden="1" customWidth="1"/>
    <col min="120" max="120" width="10" style="3" hidden="1" customWidth="1"/>
    <col min="121" max="121" width="12.5703125" style="3" hidden="1" customWidth="1"/>
    <col min="122" max="122" width="11.7109375" style="3" hidden="1" customWidth="1"/>
    <col min="123" max="123" width="12.28515625" style="3" hidden="1" customWidth="1"/>
    <col min="124" max="124" width="3" style="3" hidden="1" customWidth="1"/>
    <col min="125" max="125" width="6.140625" style="3" hidden="1" customWidth="1"/>
    <col min="126" max="127" width="7" style="3" hidden="1" customWidth="1"/>
    <col min="128" max="128" width="10.42578125" style="3" hidden="1" customWidth="1"/>
    <col min="129" max="129" width="12.5703125" style="3" hidden="1" customWidth="1"/>
    <col min="130" max="130" width="11.42578125" style="3" bestFit="1" customWidth="1"/>
    <col min="131" max="131" width="12.42578125" style="3" bestFit="1" customWidth="1"/>
    <col min="132" max="132" width="9.7109375" style="3" bestFit="1" customWidth="1"/>
    <col min="133" max="134" width="3" style="3" bestFit="1" customWidth="1"/>
    <col min="135" max="135" width="9.140625" style="3"/>
    <col min="136" max="137" width="3" style="3" bestFit="1" customWidth="1"/>
    <col min="138" max="16384" width="9.140625" style="3"/>
  </cols>
  <sheetData>
    <row r="1" spans="1:135" ht="54.75" customHeight="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"/>
    </row>
    <row r="2" spans="1:135" ht="28.5" customHeight="1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"/>
    </row>
    <row r="3" spans="1:135" ht="56.25" customHeight="1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"/>
    </row>
    <row r="4" spans="1:135" s="5" customFormat="1" x14ac:dyDescent="0.25">
      <c r="A4" s="114" t="s">
        <v>3</v>
      </c>
      <c r="B4" s="114"/>
      <c r="C4" s="4">
        <v>4</v>
      </c>
      <c r="S4" s="2"/>
    </row>
    <row r="5" spans="1:135" s="5" customFormat="1" x14ac:dyDescent="0.25">
      <c r="A5" s="114" t="s">
        <v>4</v>
      </c>
      <c r="B5" s="114"/>
      <c r="C5" s="4">
        <v>1</v>
      </c>
      <c r="S5" s="2"/>
      <c r="T5" s="3"/>
      <c r="U5" s="3"/>
      <c r="V5" s="3"/>
      <c r="W5" s="3"/>
      <c r="X5" s="6">
        <f>VLOOKUP(C4,A8:Q56,14,0)</f>
        <v>1</v>
      </c>
      <c r="Y5" s="6">
        <f>VLOOKUP(C4,A8:Q56,17,0)</f>
        <v>-12900</v>
      </c>
      <c r="Z5" s="6">
        <f>VLOOKUP(C4,A8:Q56,16,0)</f>
        <v>250000</v>
      </c>
      <c r="AA5" s="6"/>
      <c r="AB5" s="6"/>
      <c r="AC5" s="6"/>
      <c r="AD5" s="6">
        <f>VLOOKUP(C4,A8:Q56,12,0)</f>
        <v>38.5</v>
      </c>
      <c r="AE5" s="6">
        <f>VLOOKUP(C4,A8:Q56,3,0)</f>
        <v>6378245</v>
      </c>
      <c r="AF5" s="6"/>
      <c r="AG5" s="6">
        <f>VLOOKUP(C4,A8:Q56,4,0)</f>
        <v>3.352329869259135E-3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6">
        <f>VLOOKUP(C4,A8:Q56,5,0)</f>
        <v>23.92</v>
      </c>
      <c r="BM5" s="6">
        <f>VLOOKUP(C4,A8:Q56,6,0)</f>
        <v>-141.27000000000001</v>
      </c>
      <c r="BN5" s="6">
        <f>VLOOKUP(C4,A8:Q56,7,0)</f>
        <v>-80.900000000000006</v>
      </c>
      <c r="BO5" s="6">
        <f>VLOOKUP(C4,A8:Q56,8,0)</f>
        <v>0</v>
      </c>
      <c r="BP5" s="6">
        <f>VLOOKUP(C4,A8:Q56,9,0)</f>
        <v>-0.35</v>
      </c>
      <c r="BQ5" s="6">
        <f>VLOOKUP(C4,A8:Q56,10,0)</f>
        <v>-0.82</v>
      </c>
      <c r="BR5" s="6"/>
      <c r="BS5" s="6"/>
      <c r="BT5" s="6"/>
      <c r="BU5" s="6">
        <f>VLOOKUP(C4,A8:Q56,11,0)</f>
        <v>-0.22</v>
      </c>
      <c r="BV5" s="3"/>
      <c r="BW5" s="3"/>
      <c r="BX5" s="3"/>
      <c r="BY5" s="6">
        <f>VLOOKUP(C5,A8:Q56,5,0)</f>
        <v>23.92</v>
      </c>
      <c r="BZ5" s="6">
        <f>VLOOKUP(C5,A8:Q56,6,0)</f>
        <v>-141.27000000000001</v>
      </c>
      <c r="CA5" s="6">
        <f>VLOOKUP(C5,A8:Q56,7,0)</f>
        <v>-80.900000000000006</v>
      </c>
      <c r="CB5" s="6">
        <f>VLOOKUP(C5,A8:Q56,8,0)</f>
        <v>0</v>
      </c>
      <c r="CC5" s="6">
        <f>VLOOKUP(C5,A8:Q56,9,0)</f>
        <v>-0.35</v>
      </c>
      <c r="CD5" s="6">
        <f>VLOOKUP(C5,A8:Q56,10,0)</f>
        <v>-0.82</v>
      </c>
      <c r="CE5" s="6"/>
      <c r="CF5" s="6"/>
      <c r="CG5" s="6"/>
      <c r="CH5" s="6">
        <f>VLOOKUP(C5,A8:Q56,11,0)</f>
        <v>-0.22</v>
      </c>
      <c r="CI5" s="3"/>
      <c r="CJ5" s="3"/>
      <c r="CK5" s="3"/>
      <c r="CL5" s="3"/>
      <c r="CM5" s="6">
        <f>VLOOKUP(C5,A8:Q56,3,0)</f>
        <v>6378245</v>
      </c>
      <c r="CN5" s="6">
        <f>VLOOKUP(C5,A8:Q56,4,0)</f>
        <v>3.352329869259135E-3</v>
      </c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6">
        <f>VLOOKUP(C5,A8:Q56,12,0)</f>
        <v>39</v>
      </c>
      <c r="DK5" s="6"/>
      <c r="DL5" s="6"/>
      <c r="DM5" s="6"/>
      <c r="DN5" s="6"/>
      <c r="DO5" s="6"/>
      <c r="DP5" s="6"/>
      <c r="DQ5" s="6"/>
      <c r="DR5" s="6"/>
      <c r="DS5" s="6"/>
      <c r="DT5" s="6">
        <f>VLOOKUP(C5,A8:Q56,15,0)</f>
        <v>7</v>
      </c>
      <c r="DU5" s="6">
        <f>VLOOKUP(C5,A8:Q56,17,0)</f>
        <v>0</v>
      </c>
      <c r="DV5" s="6">
        <f>VLOOKUP(C5,A8:Q56,16,0)</f>
        <v>500000</v>
      </c>
      <c r="DW5" s="6">
        <f>VLOOKUP(C5,A8:Q56,14,0)</f>
        <v>1</v>
      </c>
      <c r="DX5" s="3"/>
      <c r="DY5" s="3"/>
      <c r="DZ5" s="3"/>
      <c r="EA5" s="3"/>
    </row>
    <row r="6" spans="1:135" ht="15.75" thickBot="1" x14ac:dyDescent="0.3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5" ht="16.5" thickBot="1" x14ac:dyDescent="0.3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19</v>
      </c>
      <c r="O7" s="8" t="s">
        <v>20</v>
      </c>
      <c r="P7" s="8" t="s">
        <v>21</v>
      </c>
      <c r="Q7" s="8" t="s">
        <v>22</v>
      </c>
      <c r="R7" s="9" t="s">
        <v>23</v>
      </c>
      <c r="T7" s="10" t="s">
        <v>6</v>
      </c>
      <c r="U7" s="11" t="s">
        <v>24</v>
      </c>
      <c r="V7" s="11" t="s">
        <v>25</v>
      </c>
      <c r="W7" s="12" t="s">
        <v>26</v>
      </c>
      <c r="X7" s="13" t="s">
        <v>19</v>
      </c>
      <c r="Y7" s="11" t="s">
        <v>27</v>
      </c>
      <c r="Z7" s="11" t="s">
        <v>28</v>
      </c>
      <c r="AA7" s="11" t="s">
        <v>29</v>
      </c>
      <c r="AB7" s="11" t="s">
        <v>30</v>
      </c>
      <c r="AC7" s="11" t="s">
        <v>31</v>
      </c>
      <c r="AD7" s="11" t="s">
        <v>32</v>
      </c>
      <c r="AE7" s="11" t="s">
        <v>33</v>
      </c>
      <c r="AF7" s="11" t="s">
        <v>34</v>
      </c>
      <c r="AG7" s="11" t="s">
        <v>9</v>
      </c>
      <c r="AH7" s="11" t="s">
        <v>35</v>
      </c>
      <c r="AI7" s="11" t="s">
        <v>36</v>
      </c>
      <c r="AJ7" s="11" t="s">
        <v>37</v>
      </c>
      <c r="AK7" s="11" t="s">
        <v>38</v>
      </c>
      <c r="AL7" s="11" t="s">
        <v>39</v>
      </c>
      <c r="AM7" s="11" t="s">
        <v>40</v>
      </c>
      <c r="AN7" s="11" t="s">
        <v>41</v>
      </c>
      <c r="AO7" s="11" t="s">
        <v>42</v>
      </c>
      <c r="AP7" s="11" t="s">
        <v>43</v>
      </c>
      <c r="AQ7" s="11" t="s">
        <v>44</v>
      </c>
      <c r="AR7" s="11" t="s">
        <v>45</v>
      </c>
      <c r="AS7" s="11" t="s">
        <v>46</v>
      </c>
      <c r="AT7" s="11" t="s">
        <v>47</v>
      </c>
      <c r="AU7" s="11" t="s">
        <v>48</v>
      </c>
      <c r="AV7" s="11" t="s">
        <v>49</v>
      </c>
      <c r="AW7" s="11" t="s">
        <v>50</v>
      </c>
      <c r="AX7" s="14" t="s">
        <v>51</v>
      </c>
      <c r="AY7" s="10" t="s">
        <v>52</v>
      </c>
      <c r="AZ7" s="11" t="s">
        <v>53</v>
      </c>
      <c r="BA7" s="11" t="s">
        <v>54</v>
      </c>
      <c r="BB7" s="11" t="s">
        <v>55</v>
      </c>
      <c r="BC7" s="11" t="s">
        <v>56</v>
      </c>
      <c r="BD7" s="11" t="s">
        <v>57</v>
      </c>
      <c r="BE7" s="11" t="s">
        <v>58</v>
      </c>
      <c r="BF7" s="11" t="s">
        <v>59</v>
      </c>
      <c r="BG7" s="11" t="s">
        <v>60</v>
      </c>
      <c r="BH7" s="12" t="s">
        <v>61</v>
      </c>
      <c r="BI7" s="10" t="s">
        <v>62</v>
      </c>
      <c r="BJ7" s="11" t="s">
        <v>63</v>
      </c>
      <c r="BK7" s="12" t="s">
        <v>64</v>
      </c>
      <c r="BL7" s="13" t="s">
        <v>65</v>
      </c>
      <c r="BM7" s="11" t="s">
        <v>66</v>
      </c>
      <c r="BN7" s="11" t="s">
        <v>67</v>
      </c>
      <c r="BO7" s="11" t="s">
        <v>13</v>
      </c>
      <c r="BP7" s="11" t="s">
        <v>14</v>
      </c>
      <c r="BQ7" s="11" t="s">
        <v>15</v>
      </c>
      <c r="BR7" s="11" t="s">
        <v>68</v>
      </c>
      <c r="BS7" s="11" t="s">
        <v>69</v>
      </c>
      <c r="BT7" s="11" t="s">
        <v>70</v>
      </c>
      <c r="BU7" s="14" t="s">
        <v>71</v>
      </c>
      <c r="BV7" s="10" t="s">
        <v>72</v>
      </c>
      <c r="BW7" s="11" t="s">
        <v>73</v>
      </c>
      <c r="BX7" s="12" t="s">
        <v>74</v>
      </c>
      <c r="BY7" s="13" t="s">
        <v>65</v>
      </c>
      <c r="BZ7" s="11" t="s">
        <v>66</v>
      </c>
      <c r="CA7" s="11" t="s">
        <v>67</v>
      </c>
      <c r="CB7" s="11" t="s">
        <v>13</v>
      </c>
      <c r="CC7" s="11" t="s">
        <v>14</v>
      </c>
      <c r="CD7" s="11" t="s">
        <v>15</v>
      </c>
      <c r="CE7" s="11" t="s">
        <v>68</v>
      </c>
      <c r="CF7" s="11" t="s">
        <v>69</v>
      </c>
      <c r="CG7" s="11" t="s">
        <v>70</v>
      </c>
      <c r="CH7" s="14" t="s">
        <v>71</v>
      </c>
      <c r="CI7" s="10" t="s">
        <v>75</v>
      </c>
      <c r="CJ7" s="11" t="s">
        <v>76</v>
      </c>
      <c r="CK7" s="12" t="s">
        <v>77</v>
      </c>
      <c r="CL7" s="15" t="s">
        <v>78</v>
      </c>
      <c r="CM7" s="16" t="s">
        <v>33</v>
      </c>
      <c r="CN7" s="16" t="s">
        <v>9</v>
      </c>
      <c r="CO7" s="16" t="s">
        <v>35</v>
      </c>
      <c r="CP7" s="16" t="s">
        <v>79</v>
      </c>
      <c r="CQ7" s="16" t="s">
        <v>80</v>
      </c>
      <c r="CR7" s="16" t="s">
        <v>81</v>
      </c>
      <c r="CS7" s="16" t="s">
        <v>82</v>
      </c>
      <c r="CT7" s="16" t="s">
        <v>34</v>
      </c>
      <c r="CU7" s="16" t="s">
        <v>83</v>
      </c>
      <c r="CV7" s="16" t="s">
        <v>84</v>
      </c>
      <c r="CW7" s="17" t="s">
        <v>51</v>
      </c>
      <c r="CX7" s="18" t="s">
        <v>52</v>
      </c>
      <c r="CY7" s="16" t="s">
        <v>53</v>
      </c>
      <c r="CZ7" s="16" t="s">
        <v>54</v>
      </c>
      <c r="DA7" s="16" t="s">
        <v>55</v>
      </c>
      <c r="DB7" s="16" t="s">
        <v>32</v>
      </c>
      <c r="DC7" s="16" t="s">
        <v>85</v>
      </c>
      <c r="DD7" s="16" t="s">
        <v>57</v>
      </c>
      <c r="DE7" s="16" t="s">
        <v>59</v>
      </c>
      <c r="DF7" s="16" t="s">
        <v>60</v>
      </c>
      <c r="DG7" s="16" t="s">
        <v>61</v>
      </c>
      <c r="DH7" s="16" t="s">
        <v>58</v>
      </c>
      <c r="DI7" s="19" t="s">
        <v>26</v>
      </c>
      <c r="DJ7" s="13" t="s">
        <v>32</v>
      </c>
      <c r="DK7" s="11" t="s">
        <v>56</v>
      </c>
      <c r="DL7" s="11" t="s">
        <v>34</v>
      </c>
      <c r="DM7" s="11" t="s">
        <v>36</v>
      </c>
      <c r="DN7" s="11" t="s">
        <v>86</v>
      </c>
      <c r="DO7" s="11" t="s">
        <v>37</v>
      </c>
      <c r="DP7" s="11" t="s">
        <v>87</v>
      </c>
      <c r="DQ7" s="11" t="s">
        <v>88</v>
      </c>
      <c r="DR7" s="11" t="s">
        <v>89</v>
      </c>
      <c r="DS7" s="11" t="s">
        <v>90</v>
      </c>
      <c r="DT7" s="11" t="s">
        <v>29</v>
      </c>
      <c r="DU7" s="11" t="s">
        <v>27</v>
      </c>
      <c r="DV7" s="11" t="s">
        <v>28</v>
      </c>
      <c r="DW7" s="11" t="s">
        <v>19</v>
      </c>
      <c r="DX7" s="11" t="s">
        <v>91</v>
      </c>
      <c r="DY7" s="14" t="s">
        <v>92</v>
      </c>
      <c r="DZ7" s="10" t="s">
        <v>24</v>
      </c>
      <c r="EA7" s="12" t="s">
        <v>25</v>
      </c>
    </row>
    <row r="8" spans="1:135" x14ac:dyDescent="0.25">
      <c r="A8" s="4">
        <v>1</v>
      </c>
      <c r="B8" s="4" t="s">
        <v>93</v>
      </c>
      <c r="C8" s="20">
        <v>6378245</v>
      </c>
      <c r="D8" s="21">
        <f t="shared" ref="D8:D13" si="0">1/298.3</f>
        <v>3.352329869259135E-3</v>
      </c>
      <c r="E8" s="20">
        <v>23.92</v>
      </c>
      <c r="F8" s="20">
        <v>-141.27000000000001</v>
      </c>
      <c r="G8" s="20">
        <v>-80.900000000000006</v>
      </c>
      <c r="H8" s="22">
        <v>0</v>
      </c>
      <c r="I8" s="22">
        <v>-0.35</v>
      </c>
      <c r="J8" s="22">
        <v>-0.82</v>
      </c>
      <c r="K8" s="23">
        <v>-0.22</v>
      </c>
      <c r="L8" s="22">
        <v>39</v>
      </c>
      <c r="M8" s="4">
        <v>0</v>
      </c>
      <c r="N8" s="24">
        <v>1</v>
      </c>
      <c r="O8" s="4">
        <v>7</v>
      </c>
      <c r="P8" s="4">
        <v>500000</v>
      </c>
      <c r="Q8" s="20">
        <v>0</v>
      </c>
      <c r="R8" s="4" t="s">
        <v>94</v>
      </c>
      <c r="T8" s="25">
        <v>1</v>
      </c>
      <c r="U8" s="26">
        <v>6250000</v>
      </c>
      <c r="V8" s="26">
        <v>3200000</v>
      </c>
      <c r="W8" s="27"/>
      <c r="X8" s="28">
        <f t="shared" ref="X8:Z23" si="1">X$5</f>
        <v>1</v>
      </c>
      <c r="Y8" s="29">
        <f t="shared" si="1"/>
        <v>-12900</v>
      </c>
      <c r="Z8" s="29">
        <f t="shared" si="1"/>
        <v>250000</v>
      </c>
      <c r="AA8" s="29">
        <f>IF(V8&gt;0,INT(V8/(10^6)),0)</f>
        <v>3</v>
      </c>
      <c r="AB8" s="30">
        <f>(U8-Y8)/X8</f>
        <v>6262900</v>
      </c>
      <c r="AC8" s="30">
        <f>(V8-Z8-AA8*1000000)/X8</f>
        <v>-50000</v>
      </c>
      <c r="AD8" s="29">
        <f>AD$5</f>
        <v>38.5</v>
      </c>
      <c r="AE8" s="29">
        <f>AE$5</f>
        <v>6378245</v>
      </c>
      <c r="AF8" s="29">
        <f>AE8-AE8*AG8</f>
        <v>6356863.0187730473</v>
      </c>
      <c r="AG8" s="29">
        <f>AG$5</f>
        <v>3.352329869259135E-3</v>
      </c>
      <c r="AH8" s="31">
        <f>((AE8^2)-(AF8^2))/(AE8^2)</f>
        <v>6.6934216229658618E-3</v>
      </c>
      <c r="AI8" s="32">
        <f>(AE8^2-AF8^2)/(AF8^2)</f>
        <v>6.7385254146834087E-3</v>
      </c>
      <c r="AJ8" s="33">
        <f>AE8/((1-AH8*(SIN(AX8))^2)^0.5)</f>
        <v>6393134.9878676794</v>
      </c>
      <c r="AK8" s="31">
        <f>AP8*AB8+AQ8*SIN(2*AP8*AB8)+AR8*SIN(4*AP8*AB8)+AS8*SIN(6*AP8*AB8)</f>
        <v>0.98588439933676497</v>
      </c>
      <c r="AL8" s="31">
        <f>AE8*(1-AH8)*(1+AH8*3/4+(AH8^2)*45/64+(AH8^3)*175/256)</f>
        <v>6367558.4882606138</v>
      </c>
      <c r="AM8" s="31">
        <f>0.5*AE8*(1-AH8)*((AH8)*3/4+(AH8^2)*15/16+(AH8^3)*525/512)</f>
        <v>16036.473376007938</v>
      </c>
      <c r="AN8" s="31">
        <f>0.25*AE8*(1-AH8)*((AH8^2)*15/64+(AH8^3)*105/256)</f>
        <v>16.826341825445081</v>
      </c>
      <c r="AO8" s="31">
        <f>0.167*AE8*(1-AH8)*(AH8^3)*35/512</f>
        <v>2.1689203848674052E-2</v>
      </c>
      <c r="AP8" s="31">
        <f>1/AL8</f>
        <v>1.5704606433433228E-7</v>
      </c>
      <c r="AQ8" s="31">
        <f>AM8/AL8+AM8*AN8/(AL8^2)-0.5*((AM8/AL8)^3)</f>
        <v>2.5184636976839014E-3</v>
      </c>
      <c r="AR8" s="31">
        <f>-AN8/AL8+(AM8/AL8)^2</f>
        <v>3.70015534400603E-6</v>
      </c>
      <c r="AS8" s="31">
        <f>AO8/AL8-3*AM8*AN8/(AL8^2)+1.5*(AM8/AL8)^3</f>
        <v>7.4016654475384287E-9</v>
      </c>
      <c r="AT8" s="31">
        <f>AE8*((1-AH8*((SIN(AK8))^2))^(-0.5))</f>
        <v>6393135.9037213884</v>
      </c>
      <c r="AU8" s="31">
        <f>(AI8*(COS(AK8))^2)^0.5</f>
        <v>4.5323203344317553E-2</v>
      </c>
      <c r="AV8" s="31">
        <f>TAN(AK8)</f>
        <v>1.5100915138237265</v>
      </c>
      <c r="AW8" s="31">
        <f>1+AU8^2</f>
        <v>1.0020541927613904</v>
      </c>
      <c r="AX8" s="34">
        <f>AK8-(((AC8^2)*(1+(AU8)^2)*AV8)/(2*(AT8^2))*(1-((AC8^2)/(12*(AT8^2)))*(5+3*(AV8^2)+(AU8^2)-(9*((AU8^2)*(AV8^2))))+(((AC8^4)/(360*(AT8^4)))*(61+90*(AV8^2)+45*(AV8^4)))))</f>
        <v>0.98583812390346304</v>
      </c>
      <c r="AY8" s="35">
        <f>INT(BB8)</f>
        <v>56</v>
      </c>
      <c r="AZ8" s="36">
        <f>INT((BB8-AY8)*60)</f>
        <v>29</v>
      </c>
      <c r="BA8" s="37">
        <f>(((BB8-AY8)*60)-INT((BB8-AY8)*60))*60</f>
        <v>3.7096179487866721</v>
      </c>
      <c r="BB8" s="32">
        <f>DEGREES(AX8)</f>
        <v>56.484363782763552</v>
      </c>
      <c r="BC8" s="32">
        <f>(AC8/(AT8*COS(AK8)))*(1-((AC8^2)/(6*(AT8^2)))*(1+2*(AV8^2)+(AU8^2))+(((AC8^4)/(120*(AT8^4)))*(5+28*(AV8^2)+24*(AV8^4)+6*(AU8^2)+8*(AU8^2)*(AV8^2))))</f>
        <v>-1.4164240073224192E-2</v>
      </c>
      <c r="BD8" s="32">
        <f>RADIANS(AD8)+BC8</f>
        <v>0.65778752194459278</v>
      </c>
      <c r="BE8" s="32">
        <f>AD8+DEGREES(BC8)</f>
        <v>37.688448823794182</v>
      </c>
      <c r="BF8" s="38">
        <f>INT(BE8)</f>
        <v>37</v>
      </c>
      <c r="BG8" s="36">
        <f>INT((BE8-BF8)*60)</f>
        <v>41</v>
      </c>
      <c r="BH8" s="39">
        <f>(((BE8-BF8)*60)-INT((BE8-BF8)*60))*60</f>
        <v>18.415765659056547</v>
      </c>
      <c r="BI8" s="40">
        <f>(AJ8+W8)*COS(AX8)*COS(BD8)</f>
        <v>2793503.6063420991</v>
      </c>
      <c r="BJ8" s="41">
        <f>(AJ8+W8)*COS(AX8)*SIN(BD8)</f>
        <v>2158165.4728737026</v>
      </c>
      <c r="BK8" s="42">
        <f>((1-AH8)*AJ8+W8)*SIN(AX8)</f>
        <v>5294504.3053305382</v>
      </c>
      <c r="BL8" s="28">
        <f t="shared" ref="BL8:BQ23" si="2">BL$5</f>
        <v>23.92</v>
      </c>
      <c r="BM8" s="29">
        <f t="shared" si="2"/>
        <v>-141.27000000000001</v>
      </c>
      <c r="BN8" s="29">
        <f t="shared" si="2"/>
        <v>-80.900000000000006</v>
      </c>
      <c r="BO8" s="29">
        <f t="shared" si="2"/>
        <v>0</v>
      </c>
      <c r="BP8" s="29">
        <f t="shared" si="2"/>
        <v>-0.35</v>
      </c>
      <c r="BQ8" s="29">
        <f t="shared" si="2"/>
        <v>-0.82</v>
      </c>
      <c r="BR8" s="29">
        <f t="shared" ref="BR8:BT23" si="3">RADIANS(BO8/3600)</f>
        <v>0</v>
      </c>
      <c r="BS8" s="29">
        <f t="shared" si="3"/>
        <v>-1.6968478838833759E-6</v>
      </c>
      <c r="BT8" s="29">
        <f t="shared" si="3"/>
        <v>-3.9754721850981945E-6</v>
      </c>
      <c r="BU8" s="43">
        <f>BU$5</f>
        <v>-0.22</v>
      </c>
      <c r="BV8" s="35">
        <f>(1*BI8+BT8*BJ8-BS8*BK8)*(1+BU8/1000000)+BL8</f>
        <v>2793527.3160128356</v>
      </c>
      <c r="BW8" s="36">
        <f>(-BT8*BI8+1*BJ8+BR8*BK8)*(1+BU8/1000000)+BM8</f>
        <v>2158034.8335707411</v>
      </c>
      <c r="BX8" s="44">
        <f>(BS8*BI8-BR8*BJ8+BK8)*(1+BU8/1000000)+BN8</f>
        <v>5294417.5003899513</v>
      </c>
      <c r="BY8" s="28">
        <f t="shared" ref="BY8:CD23" si="4">BY$5</f>
        <v>23.92</v>
      </c>
      <c r="BZ8" s="29">
        <f t="shared" si="4"/>
        <v>-141.27000000000001</v>
      </c>
      <c r="CA8" s="29">
        <f t="shared" si="4"/>
        <v>-80.900000000000006</v>
      </c>
      <c r="CB8" s="29">
        <f t="shared" si="4"/>
        <v>0</v>
      </c>
      <c r="CC8" s="29">
        <f t="shared" si="4"/>
        <v>-0.35</v>
      </c>
      <c r="CD8" s="29">
        <f t="shared" si="4"/>
        <v>-0.82</v>
      </c>
      <c r="CE8" s="29">
        <f t="shared" ref="CE8:CG23" si="5">RADIANS(CB8/3600)</f>
        <v>0</v>
      </c>
      <c r="CF8" s="29">
        <f t="shared" si="5"/>
        <v>-1.6968478838833759E-6</v>
      </c>
      <c r="CG8" s="29">
        <f t="shared" si="5"/>
        <v>-3.9754721850981945E-6</v>
      </c>
      <c r="CH8" s="43">
        <f>CH$5</f>
        <v>-0.22</v>
      </c>
      <c r="CI8" s="40">
        <f>(1*BV8-CG8*BW8+CF8*BX8)*(1-CH8/1000000)-BY8</f>
        <v>2793503.6059750798</v>
      </c>
      <c r="CJ8" s="41">
        <f>(CG8*BV8+1*BW8-CE8*BX8)*(1-CH8/1000000)-BZ8</f>
        <v>2158165.4727458181</v>
      </c>
      <c r="CK8" s="42">
        <f>(-CF8*BV8+CE8*BW8+BX8)*(1-CH8/1000000)-CA8</f>
        <v>5294504.3053537598</v>
      </c>
      <c r="CL8" s="45">
        <f>(CI8^2+CJ8^2)^0.5</f>
        <v>3530062.4079962038</v>
      </c>
      <c r="CM8" s="29">
        <f>CM$5</f>
        <v>6378245</v>
      </c>
      <c r="CN8" s="29">
        <f>CN$5</f>
        <v>3.352329869259135E-3</v>
      </c>
      <c r="CO8" s="46">
        <f>2*CN8-CN8^2</f>
        <v>6.6934216229659433E-3</v>
      </c>
      <c r="CP8" s="46">
        <f>(CI8^2+CJ8^2+CK8^2)^0.5</f>
        <v>6363420.1844414966</v>
      </c>
      <c r="CQ8" s="46">
        <f>ASIN(CK8/CP8)</f>
        <v>0.98274235330792281</v>
      </c>
      <c r="CR8" s="46">
        <f>CO8*CM8/(2*CP8)</f>
        <v>3.3545076202854437E-3</v>
      </c>
      <c r="CS8" s="46">
        <f ca="1">CU8</f>
        <v>3.0957706457214614E-3</v>
      </c>
      <c r="CT8" s="46">
        <f ca="1">CQ8+CS8</f>
        <v>0.98583812395364423</v>
      </c>
      <c r="CU8" s="46">
        <f t="shared" ref="CU8:CU39" ca="1" si="6">ASIN((CR8*SIN(2*CT8))/((1-CO8*(SIN(CT8))^2)^0.5))</f>
        <v>3.0957706457214614E-3</v>
      </c>
      <c r="CV8" s="47">
        <f ca="1">CU8-CS8</f>
        <v>0</v>
      </c>
      <c r="CW8" s="48">
        <f ca="1">CT8</f>
        <v>0.98583812395364423</v>
      </c>
      <c r="CX8" s="35">
        <f ca="1">INT(DA8)</f>
        <v>56</v>
      </c>
      <c r="CY8" s="36">
        <f ca="1">IF((ROUND(((((DA8-CX8)*60)-INT((DA8-CX8)*60))*60),4))&lt;60,(INT((DA8-CX8)*60)),(INT((DA8-CX8)*60)+1))</f>
        <v>29</v>
      </c>
      <c r="CZ8" s="37">
        <f ca="1">IF((ROUND(((((DA8-CX8)*60)-INT((DA8-CX8)*60))*60),4))&lt;60,(ROUND(((((DA8-CX8)*60)-INT((DA8-CX8)*60))*60),4)),0)</f>
        <v>3.7096</v>
      </c>
      <c r="DA8" s="29">
        <f ca="1">DEGREES(CW8)</f>
        <v>56.48436378563872</v>
      </c>
      <c r="DB8" s="29">
        <f>IF(CL8&lt;&gt;0,(((ASIN(CJ8/CL8))^2)^0.5),0)</f>
        <v>0.6577875219794882</v>
      </c>
      <c r="DC8" s="29">
        <f>IF(AND(CI8&gt;0,CJ8=0),0,IF(AND(CI8&lt;0,CJ8=0),PI(),IF(AND(CI8=0,CJ8&gt;0),PI()/2,IF(AND(CI8=0,CJ8&lt;0),PI()*1.5,IF(AND(CI8=0,CJ8=0),0,0)))))</f>
        <v>0</v>
      </c>
      <c r="DD8" s="29">
        <f>IF(CL8=0,0,IF(AND(CJ8&lt;0,CI8&gt;0),2*PI()-DB8,IF(AND(CI8&lt;0,CJ8&lt;0),PI()+DB8,IF(AND(CJ8&gt;0,CI8&lt;0),PI()-DB8,IF(AND(CI8&gt;0,CJ8&gt;0),DB8,DC8)))))</f>
        <v>0.6577875219794882</v>
      </c>
      <c r="DE8" s="36">
        <f>INT(DH8)</f>
        <v>37</v>
      </c>
      <c r="DF8" s="36">
        <f>IF((ROUND(((((DH8-DE8)*60)-INT((DH8-DE8)*60))*60),4))&lt;60,(INT((DH8-DE8)*60)),(INT((DH8-DE8)*60)+1))</f>
        <v>41</v>
      </c>
      <c r="DG8" s="37">
        <f>IF((ROUND(((((DH8-DE8)*60)-INT((DH8-DE8)*60))*60),4))&lt;60,(ROUND(((((DH8-DE8)*60)-INT((DH8-DE8)*60))*60),4)),0)</f>
        <v>18.415800000000001</v>
      </c>
      <c r="DH8" s="29">
        <f>DEGREES(DD8)</f>
        <v>37.68844882579355</v>
      </c>
      <c r="DI8" s="42">
        <f ca="1">CL8*COS(CW8)+CK8*SIN(CW8)-CM8*((1-CO8*((SIN(CW8))^2))^0.5)</f>
        <v>-1.8418021500110626E-4</v>
      </c>
      <c r="DJ8" s="28">
        <f>DJ$5</f>
        <v>39</v>
      </c>
      <c r="DK8" s="29">
        <f>RADIANS(DH8-DJ8)</f>
        <v>-2.2890886298300276E-2</v>
      </c>
      <c r="DL8" s="29">
        <f>CM8-CM8*CN8</f>
        <v>6356863.0187730473</v>
      </c>
      <c r="DM8" s="29">
        <f>(CM8^2-DL8^2)/DL8^2</f>
        <v>6.7385254146834087E-3</v>
      </c>
      <c r="DN8" s="49">
        <f ca="1">DM8*(COS(CW8))^2</f>
        <v>2.0544798612627557E-3</v>
      </c>
      <c r="DO8" s="30">
        <f ca="1">CM8/((1-CO8*((SIN(CW8))^2))^0.5)</f>
        <v>6393134.9878686732</v>
      </c>
      <c r="DP8" s="29">
        <f>1+CO8*3/4+(CO8^2)*45/64+(CO8^3)*175/256</f>
        <v>1.0050517725429551</v>
      </c>
      <c r="DQ8" s="29">
        <f>-CO8*3/8-(CO8^2)*15/32-(CO8^3)*525/1024</f>
        <v>-2.5311877419908228E-3</v>
      </c>
      <c r="DR8" s="29">
        <f>(CO8^2)*15/256+(CO8^3)*105/1024</f>
        <v>2.6558601241364054E-6</v>
      </c>
      <c r="DS8" s="29">
        <f>-(CO8^3)*35/3072</f>
        <v>-3.4165783147131439E-9</v>
      </c>
      <c r="DT8" s="29">
        <f t="shared" ref="DT8:DW23" si="7">DT$5</f>
        <v>7</v>
      </c>
      <c r="DU8" s="29">
        <f t="shared" si="7"/>
        <v>0</v>
      </c>
      <c r="DV8" s="29">
        <f t="shared" si="7"/>
        <v>500000</v>
      </c>
      <c r="DW8" s="29">
        <f t="shared" si="7"/>
        <v>1</v>
      </c>
      <c r="DX8" s="50">
        <f ca="1">CM8*(1-CO8)*(DP8*CW8+DQ8*SIN(2*CW8)+DR8*SIN(4*CW8)+DS8*SIN(6*CW8))</f>
        <v>6262604.7615574878</v>
      </c>
      <c r="DY8" s="34">
        <f ca="1">(DO8*(COS(CW8)*DK8*((1+((DK8^2)*((COS(CW8))^2)/6)*(1-((TAN(CW8))^2)+DN8)+((DK8^4)*((COS(CW8))^4)/120)*(5-18*((TAN(CW8))^2)+((TAN(CW8))^4)+14*DN8-58*DN8*((TAN(CW8))^2))))))*DW8</f>
        <v>-80803.507259573904</v>
      </c>
      <c r="DZ8" s="51">
        <f ca="1">(DX8+((DO8*(COS(CW8))*(SIN(CW8))*DK8^2)/2)*(1+((DK8^2)*((COS(CW8))^2)/12)*(5-(TAN(CW8))^2+9*DN8)+((DK8^4)*((COS(CW8))^4)/360)*(61-58*(TAN(CW8))^2+(TAN(CW8))^4)))*DW8+DU8</f>
        <v>6263375.8808261724</v>
      </c>
      <c r="EA8" s="52">
        <f ca="1">DY8+DV8+DT8*1000000</f>
        <v>7419196.4927404262</v>
      </c>
    </row>
    <row r="9" spans="1:135" x14ac:dyDescent="0.25">
      <c r="A9" s="4">
        <v>2</v>
      </c>
      <c r="B9" s="4" t="s">
        <v>95</v>
      </c>
      <c r="C9" s="20">
        <v>6378245</v>
      </c>
      <c r="D9" s="21">
        <f t="shared" si="0"/>
        <v>3.352329869259135E-3</v>
      </c>
      <c r="E9" s="20">
        <v>24.47</v>
      </c>
      <c r="F9" s="20">
        <v>-130.88999999999999</v>
      </c>
      <c r="G9" s="20">
        <v>-81.56</v>
      </c>
      <c r="H9" s="22">
        <v>0</v>
      </c>
      <c r="I9" s="22">
        <v>0</v>
      </c>
      <c r="J9" s="22">
        <v>-0.13</v>
      </c>
      <c r="K9" s="23">
        <v>-0.22</v>
      </c>
      <c r="L9" s="22">
        <v>39</v>
      </c>
      <c r="M9" s="4">
        <v>0</v>
      </c>
      <c r="N9" s="24">
        <v>1</v>
      </c>
      <c r="O9" s="4">
        <v>7</v>
      </c>
      <c r="P9" s="4">
        <v>500000</v>
      </c>
      <c r="Q9" s="20">
        <v>0</v>
      </c>
      <c r="R9" s="4" t="s">
        <v>96</v>
      </c>
      <c r="T9" s="53">
        <v>2</v>
      </c>
      <c r="U9" s="26"/>
      <c r="V9" s="26"/>
      <c r="W9" s="54"/>
      <c r="X9" s="55">
        <f t="shared" si="1"/>
        <v>1</v>
      </c>
      <c r="Y9" s="6">
        <f t="shared" si="1"/>
        <v>-12900</v>
      </c>
      <c r="Z9" s="6">
        <f t="shared" si="1"/>
        <v>250000</v>
      </c>
      <c r="AA9" s="6">
        <f>IF(V9&gt;0,INT(V9/(10^6)),0)</f>
        <v>0</v>
      </c>
      <c r="AB9" s="30">
        <f t="shared" ref="AB9:AB64" si="8">(U9-Y9)/X9</f>
        <v>12900</v>
      </c>
      <c r="AC9" s="30">
        <f t="shared" ref="AC9:AC64" si="9">(V9-Z9-AA9*1000000)/X9</f>
        <v>-250000</v>
      </c>
      <c r="AD9" s="6">
        <f>AD$5</f>
        <v>38.5</v>
      </c>
      <c r="AE9" s="6">
        <f>AE$5</f>
        <v>6378245</v>
      </c>
      <c r="AF9" s="6">
        <f>AE9-AE9*AG9</f>
        <v>6356863.0187730473</v>
      </c>
      <c r="AG9" s="6">
        <f>AG$5</f>
        <v>3.352329869259135E-3</v>
      </c>
      <c r="AH9" s="8">
        <f>((AE9^2)-(AF9^2))/(AE9^2)</f>
        <v>6.6934216229658618E-3</v>
      </c>
      <c r="AI9" s="56">
        <f>(AE9^2-AF9^2)/(AF9^2)</f>
        <v>6.7385254146834087E-3</v>
      </c>
      <c r="AJ9" s="57">
        <f>AE9/((1-AH9*(SIN(AX9))^2)^0.5)</f>
        <v>6378245.0883603953</v>
      </c>
      <c r="AK9" s="8">
        <f>AP9*AB9+AQ9*SIN(2*AP9*AB9)+AR9*SIN(4*AP9*AB9)+AS9*SIN(6*AP9*AB9)</f>
        <v>2.0361285582720838E-3</v>
      </c>
      <c r="AL9" s="8">
        <f>AE9*(1-AH9)*(1+AH9*3/4+(AH9^2)*45/64+(AH9^3)*175/256)</f>
        <v>6367558.4882606138</v>
      </c>
      <c r="AM9" s="8">
        <f>0.5*AE9*(1-AH9)*((AH9)*3/4+(AH9^2)*15/16+(AH9^3)*525/512)</f>
        <v>16036.473376007938</v>
      </c>
      <c r="AN9" s="8">
        <f>0.25*AE9*(1-AH9)*((AH9^2)*15/64+(AH9^3)*105/256)</f>
        <v>16.826341825445081</v>
      </c>
      <c r="AO9" s="8">
        <f>0.167*AE9*(1-AH9)*(AH9^3)*35/512</f>
        <v>2.1689203848674052E-2</v>
      </c>
      <c r="AP9" s="8">
        <f>1/AL9</f>
        <v>1.5704606433433228E-7</v>
      </c>
      <c r="AQ9" s="8">
        <f>AM9/AL9+AM9*AN9/(AL9^2)-0.5*((AM9/AL9)^3)</f>
        <v>2.5184636976839014E-3</v>
      </c>
      <c r="AR9" s="8">
        <f>-AN9/AL9+(AM9/AL9)^2</f>
        <v>3.70015534400603E-6</v>
      </c>
      <c r="AS9" s="8">
        <f>AO9/AL9-3*AM9*AN9/(AL9^2)+1.5*(AM9/AL9)^3</f>
        <v>7.4016654475384287E-9</v>
      </c>
      <c r="AT9" s="8">
        <f>AE9*((1-AH9*((SIN(AK9))^2))^(-0.5))</f>
        <v>6378245.0884971283</v>
      </c>
      <c r="AU9" s="8">
        <f>(AI9*(COS(AK9))^2)^0.5</f>
        <v>8.2088351658514316E-2</v>
      </c>
      <c r="AV9" s="8">
        <f>TAN(AK9)</f>
        <v>2.0361313720839145E-3</v>
      </c>
      <c r="AW9" s="8">
        <f>1+AU9^2</f>
        <v>1.0067384974780118</v>
      </c>
      <c r="AX9" s="58">
        <f>AK9-(((AC9^2)*(1+(AU9)^2)*AV9)/(2*(AT9^2))*(1-((AC9^2)/(12*(AT9^2)))*(5+3*(AV9^2)+(AU9^2)-(9*((AU9^2)*(AV9^2))))+(((AC9^4)/(360*(AT9^4)))*(61+90*(AV9^2)+45*(AV9^4)))))</f>
        <v>2.0345549675285794E-3</v>
      </c>
      <c r="AY9" s="59">
        <f>INT(BB9)</f>
        <v>0</v>
      </c>
      <c r="AZ9" s="60">
        <f>INT((BB9-AY9)*60)</f>
        <v>6</v>
      </c>
      <c r="BA9" s="61">
        <f>(((BB9-AY9)*60)-INT((BB9-AY9)*60))*60</f>
        <v>59.657086176349864</v>
      </c>
      <c r="BB9" s="56">
        <f>DEGREES(AX9)</f>
        <v>0.11657141282676385</v>
      </c>
      <c r="BC9" s="56">
        <f>(AC9/(AT9*COS(AK9)))*(1-((AC9^2)/(6*(AT9^2)))*(1+2*(AV9^2)+(AU9^2))+(((AC9^4)/(120*(AT9^4)))*(5+28*(AV9^2)+24*(AV9^4)+6*(AU9^2)+8*(AU9^2)*(AV9^2))))</f>
        <v>-3.9185715631620689E-2</v>
      </c>
      <c r="BD9" s="56">
        <f>RADIANS(AD9)+BC9</f>
        <v>0.63276604638619627</v>
      </c>
      <c r="BE9" s="56">
        <f>AD9+DEGREES(BC9)</f>
        <v>36.254823877108315</v>
      </c>
      <c r="BF9" s="62">
        <f>INT(BE9)</f>
        <v>36</v>
      </c>
      <c r="BG9" s="60">
        <f>INT((BE9-BF9)*60)</f>
        <v>15</v>
      </c>
      <c r="BH9" s="63">
        <f>(((BE9-BF9)*60)-INT((BE9-BF9)*60))*60</f>
        <v>17.365957589933601</v>
      </c>
      <c r="BI9" s="64">
        <f>(AJ9+W9)*COS(AX9)*COS(BD9)</f>
        <v>5143373.1390186641</v>
      </c>
      <c r="BJ9" s="65">
        <f>(AJ9+W9)*COS(AX9)*SIN(BD9)</f>
        <v>3771943.1014487948</v>
      </c>
      <c r="BK9" s="66">
        <f>((1-AH9)*AJ9+W9)*SIN(AX9)</f>
        <v>12890.021538123134</v>
      </c>
      <c r="BL9" s="55">
        <f t="shared" si="2"/>
        <v>23.92</v>
      </c>
      <c r="BM9" s="6">
        <f t="shared" si="2"/>
        <v>-141.27000000000001</v>
      </c>
      <c r="BN9" s="6">
        <f t="shared" si="2"/>
        <v>-80.900000000000006</v>
      </c>
      <c r="BO9" s="6">
        <f t="shared" si="2"/>
        <v>0</v>
      </c>
      <c r="BP9" s="6">
        <f t="shared" si="2"/>
        <v>-0.35</v>
      </c>
      <c r="BQ9" s="6">
        <f t="shared" si="2"/>
        <v>-0.82</v>
      </c>
      <c r="BR9" s="6">
        <f t="shared" si="3"/>
        <v>0</v>
      </c>
      <c r="BS9" s="6">
        <f t="shared" si="3"/>
        <v>-1.6968478838833759E-6</v>
      </c>
      <c r="BT9" s="6">
        <f t="shared" si="3"/>
        <v>-3.9754721850981945E-6</v>
      </c>
      <c r="BU9" s="67">
        <f>BU$5</f>
        <v>-0.22</v>
      </c>
      <c r="BV9" s="59">
        <f>(1*BI9+BT9*BJ9-BS9*BK9)*(1+BU9/1000000)+BL9</f>
        <v>5143380.9540973902</v>
      </c>
      <c r="BW9" s="60">
        <f>(-BT9*BI9+1*BJ9+BR9*BK9)*(1+BU9/1000000)+BM9</f>
        <v>3771821.4489536658</v>
      </c>
      <c r="BX9" s="68">
        <f>(BS9*BI9-BR9*BJ9+BK9)*(1+BU9/1000000)+BN9</f>
        <v>12800.391182411484</v>
      </c>
      <c r="BY9" s="55">
        <f t="shared" si="4"/>
        <v>23.92</v>
      </c>
      <c r="BZ9" s="6">
        <f t="shared" si="4"/>
        <v>-141.27000000000001</v>
      </c>
      <c r="CA9" s="6">
        <f t="shared" si="4"/>
        <v>-80.900000000000006</v>
      </c>
      <c r="CB9" s="6">
        <f t="shared" si="4"/>
        <v>0</v>
      </c>
      <c r="CC9" s="6">
        <f t="shared" si="4"/>
        <v>-0.35</v>
      </c>
      <c r="CD9" s="6">
        <f t="shared" si="4"/>
        <v>-0.82</v>
      </c>
      <c r="CE9" s="6">
        <f t="shared" si="5"/>
        <v>0</v>
      </c>
      <c r="CF9" s="6">
        <f t="shared" si="5"/>
        <v>-1.6968478838833759E-6</v>
      </c>
      <c r="CG9" s="6">
        <f t="shared" si="5"/>
        <v>-3.9754721850981945E-6</v>
      </c>
      <c r="CH9" s="67">
        <f>CH$5</f>
        <v>-0.22</v>
      </c>
      <c r="CI9" s="64">
        <f>(1*BV9-CG9*BW9+CF9*BX9)*(1-CH9/1000000)-BY9</f>
        <v>5143373.1386954347</v>
      </c>
      <c r="CJ9" s="65">
        <f>(CG9*BV9+1*BW9-CE9*BX9)*(1-CH9/1000000)-BZ9</f>
        <v>3771943.1013819654</v>
      </c>
      <c r="CK9" s="66">
        <f>(-CF9*BV9+CE9*BW9+BX9)*(1-CH9/1000000)-CA9</f>
        <v>12890.021535505568</v>
      </c>
      <c r="CL9" s="69">
        <f>(CI9^2+CJ9^2)^0.5</f>
        <v>6378231.8869665386</v>
      </c>
      <c r="CM9" s="6">
        <f>CM$5</f>
        <v>6378245</v>
      </c>
      <c r="CN9" s="6">
        <f>CN$5</f>
        <v>3.352329869259135E-3</v>
      </c>
      <c r="CO9" s="9">
        <f>2*CN9-CN9^2</f>
        <v>6.6934216229659433E-3</v>
      </c>
      <c r="CP9" s="9">
        <f>(CI9^2+CJ9^2+CK9^2)^0.5</f>
        <v>6378244.911930861</v>
      </c>
      <c r="CQ9" s="9">
        <f>ASIN(CK9/CP9)</f>
        <v>2.0209368702047577E-3</v>
      </c>
      <c r="CR9" s="9">
        <f>CO9*CM9/(2*CP9)</f>
        <v>3.3467108576934797E-3</v>
      </c>
      <c r="CS9" s="9">
        <f ca="1">CU9</f>
        <v>1.3618097007062995E-5</v>
      </c>
      <c r="CT9" s="9">
        <f ca="1">CQ9+CS9</f>
        <v>2.0345549672118207E-3</v>
      </c>
      <c r="CU9" s="46">
        <f t="shared" ca="1" si="6"/>
        <v>1.3618097007062995E-5</v>
      </c>
      <c r="CV9" s="70">
        <f ca="1">CU9-CS9</f>
        <v>0</v>
      </c>
      <c r="CW9" s="71">
        <f ca="1">CT9</f>
        <v>2.0345549672118207E-3</v>
      </c>
      <c r="CX9" s="59">
        <f ca="1">INT(DA9)</f>
        <v>0</v>
      </c>
      <c r="CY9" s="60">
        <f ca="1">IF((ROUND(((((DA9-CX9)*60)-INT((DA9-CX9)*60))*60),4))&lt;60,(INT((DA9-CX9)*60)),(INT((DA9-CX9)*60)+1))</f>
        <v>6</v>
      </c>
      <c r="CZ9" s="61">
        <f ca="1">IF((ROUND(((((DA9-CX9)*60)-INT((DA9-CX9)*60))*60),4))&lt;60,(ROUND(((((DA9-CX9)*60)-INT((DA9-CX9)*60))*60),4)),0)</f>
        <v>59.6571</v>
      </c>
      <c r="DA9" s="6">
        <f ca="1">DEGREES(CW9)</f>
        <v>0.11657141280861491</v>
      </c>
      <c r="DB9" s="6">
        <f>IF(CL9&lt;&gt;0,(((ASIN(CJ9/CL9))^2)^0.5),0)</f>
        <v>0.63276604640771628</v>
      </c>
      <c r="DC9" s="6">
        <f>IF(AND(CI9&gt;0,CJ9=0),0,IF(AND(CI9&lt;0,CJ9=0),PI(),IF(AND(CI9=0,CJ9&gt;0),PI()/2,IF(AND(CI9=0,CJ9&lt;0),PI()*1.5,IF(AND(CI9=0,CJ9=0),0,0)))))</f>
        <v>0</v>
      </c>
      <c r="DD9" s="6">
        <f>IF(CL9=0,0,IF(AND(CJ9&lt;0,CI9&gt;0),2*PI()-DB9,IF(AND(CI9&lt;0,CJ9&lt;0),PI()+DB9,IF(AND(CJ9&gt;0,CI9&lt;0),PI()-DB9,IF(AND(CI9&gt;0,CJ9&gt;0),DB9,DC9)))))</f>
        <v>0.63276604640771628</v>
      </c>
      <c r="DE9" s="60">
        <f>INT(DH9)</f>
        <v>36</v>
      </c>
      <c r="DF9" s="60">
        <f>IF((ROUND(((((DH9-DE9)*60)-INT((DH9-DE9)*60))*60),4))&lt;60,(INT((DH9-DE9)*60)),(INT((DH9-DE9)*60)+1))</f>
        <v>15</v>
      </c>
      <c r="DG9" s="61">
        <f>IF((ROUND(((((DH9-DE9)*60)-INT((DH9-DE9)*60))*60),4))&lt;60,(ROUND(((((DH9-DE9)*60)-INT((DH9-DE9)*60))*60),4)),0)</f>
        <v>17.366</v>
      </c>
      <c r="DH9" s="6">
        <f>DEGREES(DD9)</f>
        <v>36.254823878341327</v>
      </c>
      <c r="DI9" s="66">
        <f ca="1">CL9*COS(CW9)+CK9*SIN(CW9)-CM9*((1-CO9*((SIN(CW9))^2))^0.5)</f>
        <v>-3.001755103468895E-4</v>
      </c>
      <c r="DJ9" s="55">
        <f>DJ$5</f>
        <v>39</v>
      </c>
      <c r="DK9" s="6">
        <f>RADIANS(DH9-DJ9)</f>
        <v>-4.7912361870072265E-2</v>
      </c>
      <c r="DL9" s="6">
        <f>CM9-CM9*CN9</f>
        <v>6356863.0187730473</v>
      </c>
      <c r="DM9" s="6">
        <f>(CM9^2-DL9^2)/DL9^2</f>
        <v>6.7385254146834087E-3</v>
      </c>
      <c r="DN9" s="72">
        <f ca="1">DM9*(COS(CW9))^2</f>
        <v>6.7384975211760307E-3</v>
      </c>
      <c r="DO9" s="73">
        <f ca="1">CM9/((1-CO9*((SIN(CW9))^2))^0.5)</f>
        <v>6378245.0883603953</v>
      </c>
      <c r="DP9" s="6">
        <f>1+CO9*3/4+(CO9^2)*45/64+(CO9^3)*175/256</f>
        <v>1.0050517725429551</v>
      </c>
      <c r="DQ9" s="6">
        <f>-CO9*3/8-(CO9^2)*15/32-(CO9^3)*525/1024</f>
        <v>-2.5311877419908228E-3</v>
      </c>
      <c r="DR9" s="6">
        <f>(CO9^2)*15/256+(CO9^3)*105/1024</f>
        <v>2.6558601241364054E-6</v>
      </c>
      <c r="DS9" s="6">
        <f>-(CO9^3)*35/3072</f>
        <v>-3.4165783147131439E-9</v>
      </c>
      <c r="DT9" s="6">
        <f t="shared" si="7"/>
        <v>7</v>
      </c>
      <c r="DU9" s="6">
        <f t="shared" si="7"/>
        <v>0</v>
      </c>
      <c r="DV9" s="6">
        <f t="shared" si="7"/>
        <v>500000</v>
      </c>
      <c r="DW9" s="6">
        <f t="shared" si="7"/>
        <v>1</v>
      </c>
      <c r="DX9" s="74">
        <f ca="1">CM9*(1-CO9)*(DP9*CW9+DQ9*SIN(2*CW9)+DR9*SIN(4*CW9)+DS9*SIN(6*CW9))</f>
        <v>12890.030428976437</v>
      </c>
      <c r="DY9" s="58">
        <f ca="1">(DO9*(COS(CW9)*DK9*((1+((DK9^2)*((COS(CW9))^2)/6)*(1-((TAN(CW9))^2)+DN9)+((DK9^4)*((COS(CW9))^4)/120)*(5-18*((TAN(CW9))^2)+((TAN(CW9))^4)+14*DN9-58*DN9*((TAN(CW9))^2))))))*DW9</f>
        <v>-305713.93034284032</v>
      </c>
      <c r="DZ9" s="75">
        <f ca="1">(DX9+((DO9*(COS(CW9))*(SIN(CW9))*DK9^2)/2)*(1+((DK9^2)*((COS(CW9))^2)/12)*(5-(TAN(CW9))^2+9*DN9)+((DK9^4)*((COS(CW9))^4)/360)*(61-58*(TAN(CW9))^2+(TAN(CW9))^4)))*DW9+DU9</f>
        <v>12904.939659140397</v>
      </c>
      <c r="EA9" s="76">
        <f ca="1">DY9+DV9+DT9*1000000</f>
        <v>7194286.06965716</v>
      </c>
    </row>
    <row r="10" spans="1:135" x14ac:dyDescent="0.25">
      <c r="A10" s="4">
        <v>3</v>
      </c>
      <c r="B10" s="4" t="s">
        <v>97</v>
      </c>
      <c r="C10" s="20">
        <v>6378245</v>
      </c>
      <c r="D10" s="21">
        <f t="shared" si="0"/>
        <v>3.352329869259135E-3</v>
      </c>
      <c r="E10" s="20">
        <v>23.92</v>
      </c>
      <c r="F10" s="20">
        <v>-141.27000000000001</v>
      </c>
      <c r="G10" s="20">
        <v>-80.900000000000006</v>
      </c>
      <c r="H10" s="22">
        <v>0</v>
      </c>
      <c r="I10" s="22">
        <v>-0.35</v>
      </c>
      <c r="J10" s="22">
        <v>-0.82</v>
      </c>
      <c r="K10" s="23">
        <v>-0.22</v>
      </c>
      <c r="L10" s="22">
        <v>35.5</v>
      </c>
      <c r="M10" s="4">
        <v>0</v>
      </c>
      <c r="N10" s="24">
        <v>1</v>
      </c>
      <c r="O10" s="4">
        <v>2</v>
      </c>
      <c r="P10" s="4">
        <v>250000</v>
      </c>
      <c r="Q10" s="20">
        <v>-12900</v>
      </c>
      <c r="R10" s="4" t="s">
        <v>105</v>
      </c>
      <c r="T10" s="53">
        <v>3</v>
      </c>
      <c r="U10" s="26"/>
      <c r="V10" s="26"/>
      <c r="W10" s="54"/>
      <c r="X10" s="55">
        <f t="shared" si="1"/>
        <v>1</v>
      </c>
      <c r="Y10" s="6">
        <f t="shared" si="1"/>
        <v>-12900</v>
      </c>
      <c r="Z10" s="6">
        <f t="shared" si="1"/>
        <v>250000</v>
      </c>
      <c r="AA10" s="6">
        <f t="shared" ref="AA10:AA64" si="10">IF(V10&gt;0,INT(V10/(10^6)),0)</f>
        <v>0</v>
      </c>
      <c r="AB10" s="30">
        <f t="shared" si="8"/>
        <v>12900</v>
      </c>
      <c r="AC10" s="30">
        <f t="shared" si="9"/>
        <v>-250000</v>
      </c>
      <c r="AD10" s="6">
        <f t="shared" ref="AD10:AE41" si="11">AD$5</f>
        <v>38.5</v>
      </c>
      <c r="AE10" s="6">
        <f t="shared" si="11"/>
        <v>6378245</v>
      </c>
      <c r="AF10" s="6">
        <f t="shared" ref="AF10:AF64" si="12">AE10-AE10*AG10</f>
        <v>6356863.0187730473</v>
      </c>
      <c r="AG10" s="6">
        <f t="shared" ref="AG10:AG64" si="13">AG$5</f>
        <v>3.352329869259135E-3</v>
      </c>
      <c r="AH10" s="8">
        <f t="shared" ref="AH10:AH64" si="14">((AE10^2)-(AF10^2))/(AE10^2)</f>
        <v>6.6934216229658618E-3</v>
      </c>
      <c r="AI10" s="56">
        <f t="shared" ref="AI10:AI64" si="15">(AE10^2-AF10^2)/(AF10^2)</f>
        <v>6.7385254146834087E-3</v>
      </c>
      <c r="AJ10" s="57">
        <f t="shared" ref="AJ10:AJ64" si="16">AE10/((1-AH10*(SIN(AX10))^2)^0.5)</f>
        <v>6378245.0883603953</v>
      </c>
      <c r="AK10" s="8">
        <f t="shared" ref="AK10:AK64" si="17">AP10*AB10+AQ10*SIN(2*AP10*AB10)+AR10*SIN(4*AP10*AB10)+AS10*SIN(6*AP10*AB10)</f>
        <v>2.0361285582720838E-3</v>
      </c>
      <c r="AL10" s="8">
        <f t="shared" ref="AL10:AL64" si="18">AE10*(1-AH10)*(1+AH10*3/4+(AH10^2)*45/64+(AH10^3)*175/256)</f>
        <v>6367558.4882606138</v>
      </c>
      <c r="AM10" s="8">
        <f t="shared" ref="AM10:AM64" si="19">0.5*AE10*(1-AH10)*((AH10)*3/4+(AH10^2)*15/16+(AH10^3)*525/512)</f>
        <v>16036.473376007938</v>
      </c>
      <c r="AN10" s="8">
        <f t="shared" ref="AN10:AN64" si="20">0.25*AE10*(1-AH10)*((AH10^2)*15/64+(AH10^3)*105/256)</f>
        <v>16.826341825445081</v>
      </c>
      <c r="AO10" s="8">
        <f t="shared" ref="AO10:AO64" si="21">0.167*AE10*(1-AH10)*(AH10^3)*35/512</f>
        <v>2.1689203848674052E-2</v>
      </c>
      <c r="AP10" s="8">
        <f t="shared" ref="AP10:AP64" si="22">1/AL10</f>
        <v>1.5704606433433228E-7</v>
      </c>
      <c r="AQ10" s="8">
        <f t="shared" ref="AQ10:AQ64" si="23">AM10/AL10+AM10*AN10/(AL10^2)-0.5*((AM10/AL10)^3)</f>
        <v>2.5184636976839014E-3</v>
      </c>
      <c r="AR10" s="8">
        <f t="shared" ref="AR10:AR64" si="24">-AN10/AL10+(AM10/AL10)^2</f>
        <v>3.70015534400603E-6</v>
      </c>
      <c r="AS10" s="8">
        <f t="shared" ref="AS10:AS64" si="25">AO10/AL10-3*AM10*AN10/(AL10^2)+1.5*(AM10/AL10)^3</f>
        <v>7.4016654475384287E-9</v>
      </c>
      <c r="AT10" s="8">
        <f t="shared" ref="AT10:AT64" si="26">AE10*((1-AH10*((SIN(AK10))^2))^(-0.5))</f>
        <v>6378245.0884971283</v>
      </c>
      <c r="AU10" s="8">
        <f t="shared" ref="AU10:AU64" si="27">(AI10*(COS(AK10))^2)^0.5</f>
        <v>8.2088351658514316E-2</v>
      </c>
      <c r="AV10" s="8">
        <f t="shared" ref="AV10:AV64" si="28">TAN(AK10)</f>
        <v>2.0361313720839145E-3</v>
      </c>
      <c r="AW10" s="8">
        <f t="shared" ref="AW10:AW64" si="29">1+AU10^2</f>
        <v>1.0067384974780118</v>
      </c>
      <c r="AX10" s="58">
        <f t="shared" ref="AX10:AX64" si="30">AK10-(((AC10^2)*(1+(AU10)^2)*AV10)/(2*(AT10^2))*(1-((AC10^2)/(12*(AT10^2)))*(5+3*(AV10^2)+(AU10^2)-(9*((AU10^2)*(AV10^2))))+(((AC10^4)/(360*(AT10^4)))*(61+90*(AV10^2)+45*(AV10^4)))))</f>
        <v>2.0345549675285794E-3</v>
      </c>
      <c r="AY10" s="59">
        <f t="shared" ref="AY10:AY64" si="31">INT(BB10)</f>
        <v>0</v>
      </c>
      <c r="AZ10" s="60">
        <f t="shared" ref="AZ10:AZ64" si="32">INT((BB10-AY10)*60)</f>
        <v>6</v>
      </c>
      <c r="BA10" s="61">
        <f t="shared" ref="BA10:BA64" si="33">(((BB10-AY10)*60)-INT((BB10-AY10)*60))*60</f>
        <v>59.657086176349864</v>
      </c>
      <c r="BB10" s="56">
        <f t="shared" ref="BB10:BB64" si="34">DEGREES(AX10)</f>
        <v>0.11657141282676385</v>
      </c>
      <c r="BC10" s="56">
        <f t="shared" ref="BC10:BC64" si="35">(AC10/(AT10*COS(AK10)))*(1-((AC10^2)/(6*(AT10^2)))*(1+2*(AV10^2)+(AU10^2))+(((AC10^4)/(120*(AT10^4)))*(5+28*(AV10^2)+24*(AV10^4)+6*(AU10^2)+8*(AU10^2)*(AV10^2))))</f>
        <v>-3.9185715631620689E-2</v>
      </c>
      <c r="BD10" s="56">
        <f t="shared" ref="BD10:BD64" si="36">RADIANS(AD10)+BC10</f>
        <v>0.63276604638619627</v>
      </c>
      <c r="BE10" s="56">
        <f t="shared" ref="BE10:BE64" si="37">AD10+DEGREES(BC10)</f>
        <v>36.254823877108315</v>
      </c>
      <c r="BF10" s="62">
        <f t="shared" ref="BF10:BF64" si="38">INT(BE10)</f>
        <v>36</v>
      </c>
      <c r="BG10" s="60">
        <f t="shared" ref="BG10:BG64" si="39">INT((BE10-BF10)*60)</f>
        <v>15</v>
      </c>
      <c r="BH10" s="63">
        <f t="shared" ref="BH10:BH64" si="40">(((BE10-BF10)*60)-INT((BE10-BF10)*60))*60</f>
        <v>17.365957589933601</v>
      </c>
      <c r="BI10" s="64">
        <f t="shared" ref="BI10:BI64" si="41">(AJ10+W10)*COS(AX10)*COS(BD10)</f>
        <v>5143373.1390186641</v>
      </c>
      <c r="BJ10" s="65">
        <f t="shared" ref="BJ10:BJ64" si="42">(AJ10+W10)*COS(AX10)*SIN(BD10)</f>
        <v>3771943.1014487948</v>
      </c>
      <c r="BK10" s="66">
        <f t="shared" ref="BK10:BK64" si="43">((1-AH10)*AJ10+W10)*SIN(AX10)</f>
        <v>12890.021538123134</v>
      </c>
      <c r="BL10" s="55">
        <f t="shared" si="2"/>
        <v>23.92</v>
      </c>
      <c r="BM10" s="6">
        <f t="shared" si="2"/>
        <v>-141.27000000000001</v>
      </c>
      <c r="BN10" s="6">
        <f t="shared" si="2"/>
        <v>-80.900000000000006</v>
      </c>
      <c r="BO10" s="6">
        <f t="shared" si="2"/>
        <v>0</v>
      </c>
      <c r="BP10" s="6">
        <f t="shared" si="2"/>
        <v>-0.35</v>
      </c>
      <c r="BQ10" s="6">
        <f t="shared" si="2"/>
        <v>-0.82</v>
      </c>
      <c r="BR10" s="6">
        <f t="shared" si="3"/>
        <v>0</v>
      </c>
      <c r="BS10" s="6">
        <f t="shared" si="3"/>
        <v>-1.6968478838833759E-6</v>
      </c>
      <c r="BT10" s="6">
        <f t="shared" si="3"/>
        <v>-3.9754721850981945E-6</v>
      </c>
      <c r="BU10" s="67">
        <f t="shared" ref="BU10:BU64" si="44">BU$5</f>
        <v>-0.22</v>
      </c>
      <c r="BV10" s="59">
        <f t="shared" ref="BV10:BV64" si="45">(1*BI10+BT10*BJ10-BS10*BK10)*(1+BU10/1000000)+BL10</f>
        <v>5143380.9540973902</v>
      </c>
      <c r="BW10" s="60">
        <f t="shared" ref="BW10:BW64" si="46">(-BT10*BI10+1*BJ10+BR10*BK10)*(1+BU10/1000000)+BM10</f>
        <v>3771821.4489536658</v>
      </c>
      <c r="BX10" s="68">
        <f t="shared" ref="BX10:BX64" si="47">(BS10*BI10-BR10*BJ10+BK10)*(1+BU10/1000000)+BN10</f>
        <v>12800.391182411484</v>
      </c>
      <c r="BY10" s="55">
        <f t="shared" si="4"/>
        <v>23.92</v>
      </c>
      <c r="BZ10" s="6">
        <f t="shared" si="4"/>
        <v>-141.27000000000001</v>
      </c>
      <c r="CA10" s="6">
        <f t="shared" si="4"/>
        <v>-80.900000000000006</v>
      </c>
      <c r="CB10" s="6">
        <f t="shared" si="4"/>
        <v>0</v>
      </c>
      <c r="CC10" s="6">
        <f t="shared" si="4"/>
        <v>-0.35</v>
      </c>
      <c r="CD10" s="6">
        <f t="shared" si="4"/>
        <v>-0.82</v>
      </c>
      <c r="CE10" s="6">
        <f t="shared" si="5"/>
        <v>0</v>
      </c>
      <c r="CF10" s="6">
        <f t="shared" si="5"/>
        <v>-1.6968478838833759E-6</v>
      </c>
      <c r="CG10" s="6">
        <f t="shared" si="5"/>
        <v>-3.9754721850981945E-6</v>
      </c>
      <c r="CH10" s="67">
        <f t="shared" ref="CH10:CH64" si="48">CH$5</f>
        <v>-0.22</v>
      </c>
      <c r="CI10" s="64">
        <f t="shared" ref="CI10:CI64" si="49">(1*BV10-CG10*BW10+CF10*BX10)*(1-CH10/1000000)-BY10</f>
        <v>5143373.1386954347</v>
      </c>
      <c r="CJ10" s="65">
        <f t="shared" ref="CJ10:CJ64" si="50">(CG10*BV10+1*BW10-CE10*BX10)*(1-CH10/1000000)-BZ10</f>
        <v>3771943.1013819654</v>
      </c>
      <c r="CK10" s="66">
        <f t="shared" ref="CK10:CK64" si="51">(-CF10*BV10+CE10*BW10+BX10)*(1-CH10/1000000)-CA10</f>
        <v>12890.021535505568</v>
      </c>
      <c r="CL10" s="69">
        <f t="shared" ref="CL10:CL64" si="52">(CI10^2+CJ10^2)^0.5</f>
        <v>6378231.8869665386</v>
      </c>
      <c r="CM10" s="6">
        <f t="shared" ref="CM10:CN41" si="53">CM$5</f>
        <v>6378245</v>
      </c>
      <c r="CN10" s="6">
        <f t="shared" si="53"/>
        <v>3.352329869259135E-3</v>
      </c>
      <c r="CO10" s="9">
        <f t="shared" ref="CO10:CO64" si="54">2*CN10-CN10^2</f>
        <v>6.6934216229659433E-3</v>
      </c>
      <c r="CP10" s="9">
        <f t="shared" ref="CP10:CP64" si="55">(CI10^2+CJ10^2+CK10^2)^0.5</f>
        <v>6378244.911930861</v>
      </c>
      <c r="CQ10" s="9">
        <f t="shared" ref="CQ10:CQ64" si="56">ASIN(CK10/CP10)</f>
        <v>2.0209368702047577E-3</v>
      </c>
      <c r="CR10" s="9">
        <f t="shared" ref="CR10:CR64" si="57">CO10*CM10/(2*CP10)</f>
        <v>3.3467108576934797E-3</v>
      </c>
      <c r="CS10" s="9">
        <f t="shared" ref="CS10:CS64" ca="1" si="58">CU10</f>
        <v>1.3618097007062995E-5</v>
      </c>
      <c r="CT10" s="9">
        <f t="shared" ref="CT10:CT64" ca="1" si="59">CQ10+CS10</f>
        <v>2.0345549672118207E-3</v>
      </c>
      <c r="CU10" s="46">
        <f t="shared" ca="1" si="6"/>
        <v>1.3618097007062995E-5</v>
      </c>
      <c r="CV10" s="70">
        <f t="shared" ref="CV10:CV64" ca="1" si="60">CU10-CS10</f>
        <v>0</v>
      </c>
      <c r="CW10" s="71">
        <f t="shared" ref="CW10:CW64" ca="1" si="61">CT10</f>
        <v>2.0345549672118207E-3</v>
      </c>
      <c r="CX10" s="59">
        <f t="shared" ref="CX10:CX64" ca="1" si="62">INT(DA10)</f>
        <v>0</v>
      </c>
      <c r="CY10" s="60">
        <f t="shared" ref="CY10:CY64" ca="1" si="63">IF((ROUND(((((DA10-CX10)*60)-INT((DA10-CX10)*60))*60),4))&lt;60,(INT((DA10-CX10)*60)),(INT((DA10-CX10)*60)+1))</f>
        <v>6</v>
      </c>
      <c r="CZ10" s="61">
        <f t="shared" ref="CZ10:CZ64" ca="1" si="64">IF((ROUND(((((DA10-CX10)*60)-INT((DA10-CX10)*60))*60),4))&lt;60,(ROUND(((((DA10-CX10)*60)-INT((DA10-CX10)*60))*60),4)),0)</f>
        <v>59.6571</v>
      </c>
      <c r="DA10" s="6">
        <f t="shared" ref="DA10:DA64" ca="1" si="65">DEGREES(CW10)</f>
        <v>0.11657141280861491</v>
      </c>
      <c r="DB10" s="6">
        <f t="shared" ref="DB10:DB64" si="66">IF(CL10&lt;&gt;0,(((ASIN(CJ10/CL10))^2)^0.5),0)</f>
        <v>0.63276604640771628</v>
      </c>
      <c r="DC10" s="6">
        <f t="shared" ref="DC10:DC64" si="67">IF(AND(CI10&gt;0,CJ10=0),0,IF(AND(CI10&lt;0,CJ10=0),PI(),IF(AND(CI10=0,CJ10&gt;0),PI()/2,IF(AND(CI10=0,CJ10&lt;0),PI()*1.5,IF(AND(CI10=0,CJ10=0),0,0)))))</f>
        <v>0</v>
      </c>
      <c r="DD10" s="6">
        <f t="shared" ref="DD10:DD64" si="68">IF(CL10=0,0,IF(AND(CJ10&lt;0,CI10&gt;0),2*PI()-DB10,IF(AND(CI10&lt;0,CJ10&lt;0),PI()+DB10,IF(AND(CJ10&gt;0,CI10&lt;0),PI()-DB10,IF(AND(CI10&gt;0,CJ10&gt;0),DB10,DC10)))))</f>
        <v>0.63276604640771628</v>
      </c>
      <c r="DE10" s="60">
        <f t="shared" ref="DE10:DE64" si="69">INT(DH10)</f>
        <v>36</v>
      </c>
      <c r="DF10" s="60">
        <f t="shared" ref="DF10:DF64" si="70">IF((ROUND(((((DH10-DE10)*60)-INT((DH10-DE10)*60))*60),4))&lt;60,(INT((DH10-DE10)*60)),(INT((DH10-DE10)*60)+1))</f>
        <v>15</v>
      </c>
      <c r="DG10" s="61">
        <f t="shared" ref="DG10:DG64" si="71">IF((ROUND(((((DH10-DE10)*60)-INT((DH10-DE10)*60))*60),4))&lt;60,(ROUND(((((DH10-DE10)*60)-INT((DH10-DE10)*60))*60),4)),0)</f>
        <v>17.366</v>
      </c>
      <c r="DH10" s="6">
        <f t="shared" ref="DH10:DH64" si="72">DEGREES(DD10)</f>
        <v>36.254823878341327</v>
      </c>
      <c r="DI10" s="66">
        <f t="shared" ref="DI10:DI64" ca="1" si="73">CL10*COS(CW10)+CK10*SIN(CW10)-CM10*((1-CO10*((SIN(CW10))^2))^0.5)</f>
        <v>-3.001755103468895E-4</v>
      </c>
      <c r="DJ10" s="55">
        <f t="shared" ref="DJ10:DJ64" si="74">DJ$5</f>
        <v>39</v>
      </c>
      <c r="DK10" s="6">
        <f t="shared" ref="DK10:DK64" si="75">RADIANS(DH10-DJ10)</f>
        <v>-4.7912361870072265E-2</v>
      </c>
      <c r="DL10" s="6">
        <f t="shared" ref="DL10:DL64" si="76">CM10-CM10*CN10</f>
        <v>6356863.0187730473</v>
      </c>
      <c r="DM10" s="6">
        <f t="shared" ref="DM10:DM64" si="77">(CM10^2-DL10^2)/DL10^2</f>
        <v>6.7385254146834087E-3</v>
      </c>
      <c r="DN10" s="72">
        <f t="shared" ref="DN10:DN64" ca="1" si="78">DM10*(COS(CW10))^2</f>
        <v>6.7384975211760307E-3</v>
      </c>
      <c r="DO10" s="73">
        <f t="shared" ref="DO10:DO64" ca="1" si="79">CM10/((1-CO10*((SIN(CW10))^2))^0.5)</f>
        <v>6378245.0883603953</v>
      </c>
      <c r="DP10" s="6">
        <f t="shared" ref="DP10:DP64" si="80">1+CO10*3/4+(CO10^2)*45/64+(CO10^3)*175/256</f>
        <v>1.0050517725429551</v>
      </c>
      <c r="DQ10" s="6">
        <f t="shared" ref="DQ10:DQ64" si="81">-CO10*3/8-(CO10^2)*15/32-(CO10^3)*525/1024</f>
        <v>-2.5311877419908228E-3</v>
      </c>
      <c r="DR10" s="6">
        <f t="shared" ref="DR10:DR64" si="82">(CO10^2)*15/256+(CO10^3)*105/1024</f>
        <v>2.6558601241364054E-6</v>
      </c>
      <c r="DS10" s="6">
        <f t="shared" ref="DS10:DS64" si="83">-(CO10^3)*35/3072</f>
        <v>-3.4165783147131439E-9</v>
      </c>
      <c r="DT10" s="6">
        <f t="shared" si="7"/>
        <v>7</v>
      </c>
      <c r="DU10" s="6">
        <f t="shared" si="7"/>
        <v>0</v>
      </c>
      <c r="DV10" s="6">
        <f t="shared" si="7"/>
        <v>500000</v>
      </c>
      <c r="DW10" s="6">
        <f t="shared" si="7"/>
        <v>1</v>
      </c>
      <c r="DX10" s="74">
        <f t="shared" ref="DX10:DX64" ca="1" si="84">CM10*(1-CO10)*(DP10*CW10+DQ10*SIN(2*CW10)+DR10*SIN(4*CW10)+DS10*SIN(6*CW10))</f>
        <v>12890.030428976437</v>
      </c>
      <c r="DY10" s="58">
        <f t="shared" ref="DY10:DY64" ca="1" si="85">(DO10*(COS(CW10)*DK10*((1+((DK10^2)*((COS(CW10))^2)/6)*(1-((TAN(CW10))^2)+DN10)+((DK10^4)*((COS(CW10))^4)/120)*(5-18*((TAN(CW10))^2)+((TAN(CW10))^4)+14*DN10-58*DN10*((TAN(CW10))^2))))))*DW10</f>
        <v>-305713.93034284032</v>
      </c>
      <c r="DZ10" s="75">
        <f t="shared" ref="DZ10:DZ64" ca="1" si="86">(DX10+((DO10*(COS(CW10))*(SIN(CW10))*DK10^2)/2)*(1+((DK10^2)*((COS(CW10))^2)/12)*(5-(TAN(CW10))^2+9*DN10)+((DK10^4)*((COS(CW10))^4)/360)*(61-58*(TAN(CW10))^2+(TAN(CW10))^4)))*DW10+DU10</f>
        <v>12904.939659140397</v>
      </c>
      <c r="EA10" s="76">
        <f t="shared" ref="EA10:EA64" ca="1" si="87">DY10+DV10+DT10*1000000</f>
        <v>7194286.06965716</v>
      </c>
    </row>
    <row r="11" spans="1:135" x14ac:dyDescent="0.25">
      <c r="A11" s="4">
        <v>4</v>
      </c>
      <c r="B11" s="4" t="s">
        <v>98</v>
      </c>
      <c r="C11" s="20">
        <v>6378245</v>
      </c>
      <c r="D11" s="21">
        <f t="shared" si="0"/>
        <v>3.352329869259135E-3</v>
      </c>
      <c r="E11" s="20">
        <v>23.92</v>
      </c>
      <c r="F11" s="20">
        <v>-141.27000000000001</v>
      </c>
      <c r="G11" s="20">
        <v>-80.900000000000006</v>
      </c>
      <c r="H11" s="22">
        <v>0</v>
      </c>
      <c r="I11" s="22">
        <v>-0.35</v>
      </c>
      <c r="J11" s="22">
        <v>-0.82</v>
      </c>
      <c r="K11" s="23">
        <v>-0.22</v>
      </c>
      <c r="L11" s="22">
        <v>38.5</v>
      </c>
      <c r="M11" s="4">
        <v>0</v>
      </c>
      <c r="N11" s="24">
        <v>1</v>
      </c>
      <c r="O11" s="4">
        <v>3</v>
      </c>
      <c r="P11" s="4">
        <v>250000</v>
      </c>
      <c r="Q11" s="20">
        <v>-12900</v>
      </c>
      <c r="R11" s="4" t="s">
        <v>105</v>
      </c>
      <c r="T11" s="53">
        <v>4</v>
      </c>
      <c r="U11" s="26"/>
      <c r="V11" s="26"/>
      <c r="W11" s="54"/>
      <c r="X11" s="55">
        <f t="shared" si="1"/>
        <v>1</v>
      </c>
      <c r="Y11" s="6">
        <f t="shared" si="1"/>
        <v>-12900</v>
      </c>
      <c r="Z11" s="6">
        <f t="shared" si="1"/>
        <v>250000</v>
      </c>
      <c r="AA11" s="6">
        <f t="shared" si="10"/>
        <v>0</v>
      </c>
      <c r="AB11" s="30">
        <f t="shared" si="8"/>
        <v>12900</v>
      </c>
      <c r="AC11" s="30">
        <f t="shared" si="9"/>
        <v>-250000</v>
      </c>
      <c r="AD11" s="6">
        <f t="shared" si="11"/>
        <v>38.5</v>
      </c>
      <c r="AE11" s="6">
        <f t="shared" si="11"/>
        <v>6378245</v>
      </c>
      <c r="AF11" s="6">
        <f t="shared" si="12"/>
        <v>6356863.0187730473</v>
      </c>
      <c r="AG11" s="6">
        <f t="shared" si="13"/>
        <v>3.352329869259135E-3</v>
      </c>
      <c r="AH11" s="8">
        <f t="shared" si="14"/>
        <v>6.6934216229658618E-3</v>
      </c>
      <c r="AI11" s="56">
        <f t="shared" si="15"/>
        <v>6.7385254146834087E-3</v>
      </c>
      <c r="AJ11" s="57">
        <f t="shared" si="16"/>
        <v>6378245.0883603953</v>
      </c>
      <c r="AK11" s="8">
        <f t="shared" si="17"/>
        <v>2.0361285582720838E-3</v>
      </c>
      <c r="AL11" s="8">
        <f t="shared" si="18"/>
        <v>6367558.4882606138</v>
      </c>
      <c r="AM11" s="8">
        <f t="shared" si="19"/>
        <v>16036.473376007938</v>
      </c>
      <c r="AN11" s="8">
        <f t="shared" si="20"/>
        <v>16.826341825445081</v>
      </c>
      <c r="AO11" s="8">
        <f t="shared" si="21"/>
        <v>2.1689203848674052E-2</v>
      </c>
      <c r="AP11" s="8">
        <f t="shared" si="22"/>
        <v>1.5704606433433228E-7</v>
      </c>
      <c r="AQ11" s="8">
        <f t="shared" si="23"/>
        <v>2.5184636976839014E-3</v>
      </c>
      <c r="AR11" s="8">
        <f t="shared" si="24"/>
        <v>3.70015534400603E-6</v>
      </c>
      <c r="AS11" s="8">
        <f t="shared" si="25"/>
        <v>7.4016654475384287E-9</v>
      </c>
      <c r="AT11" s="8">
        <f t="shared" si="26"/>
        <v>6378245.0884971283</v>
      </c>
      <c r="AU11" s="8">
        <f t="shared" si="27"/>
        <v>8.2088351658514316E-2</v>
      </c>
      <c r="AV11" s="8">
        <f t="shared" si="28"/>
        <v>2.0361313720839145E-3</v>
      </c>
      <c r="AW11" s="8">
        <f t="shared" si="29"/>
        <v>1.0067384974780118</v>
      </c>
      <c r="AX11" s="58">
        <f t="shared" si="30"/>
        <v>2.0345549675285794E-3</v>
      </c>
      <c r="AY11" s="59">
        <f t="shared" si="31"/>
        <v>0</v>
      </c>
      <c r="AZ11" s="60">
        <f t="shared" si="32"/>
        <v>6</v>
      </c>
      <c r="BA11" s="61">
        <f t="shared" si="33"/>
        <v>59.657086176349864</v>
      </c>
      <c r="BB11" s="56">
        <f t="shared" si="34"/>
        <v>0.11657141282676385</v>
      </c>
      <c r="BC11" s="56">
        <f t="shared" si="35"/>
        <v>-3.9185715631620689E-2</v>
      </c>
      <c r="BD11" s="56">
        <f t="shared" si="36"/>
        <v>0.63276604638619627</v>
      </c>
      <c r="BE11" s="56">
        <f t="shared" si="37"/>
        <v>36.254823877108315</v>
      </c>
      <c r="BF11" s="62">
        <f t="shared" si="38"/>
        <v>36</v>
      </c>
      <c r="BG11" s="60">
        <f t="shared" si="39"/>
        <v>15</v>
      </c>
      <c r="BH11" s="63">
        <f t="shared" si="40"/>
        <v>17.365957589933601</v>
      </c>
      <c r="BI11" s="64">
        <f t="shared" si="41"/>
        <v>5143373.1390186641</v>
      </c>
      <c r="BJ11" s="65">
        <f t="shared" si="42"/>
        <v>3771943.1014487948</v>
      </c>
      <c r="BK11" s="66">
        <f t="shared" si="43"/>
        <v>12890.021538123134</v>
      </c>
      <c r="BL11" s="55">
        <f t="shared" si="2"/>
        <v>23.92</v>
      </c>
      <c r="BM11" s="6">
        <f t="shared" si="2"/>
        <v>-141.27000000000001</v>
      </c>
      <c r="BN11" s="6">
        <f t="shared" si="2"/>
        <v>-80.900000000000006</v>
      </c>
      <c r="BO11" s="6">
        <f t="shared" si="2"/>
        <v>0</v>
      </c>
      <c r="BP11" s="6">
        <f t="shared" si="2"/>
        <v>-0.35</v>
      </c>
      <c r="BQ11" s="6">
        <f t="shared" si="2"/>
        <v>-0.82</v>
      </c>
      <c r="BR11" s="6">
        <f t="shared" si="3"/>
        <v>0</v>
      </c>
      <c r="BS11" s="6">
        <f t="shared" si="3"/>
        <v>-1.6968478838833759E-6</v>
      </c>
      <c r="BT11" s="6">
        <f t="shared" si="3"/>
        <v>-3.9754721850981945E-6</v>
      </c>
      <c r="BU11" s="67">
        <f t="shared" si="44"/>
        <v>-0.22</v>
      </c>
      <c r="BV11" s="59">
        <f t="shared" si="45"/>
        <v>5143380.9540973902</v>
      </c>
      <c r="BW11" s="60">
        <f t="shared" si="46"/>
        <v>3771821.4489536658</v>
      </c>
      <c r="BX11" s="68">
        <f t="shared" si="47"/>
        <v>12800.391182411484</v>
      </c>
      <c r="BY11" s="55">
        <f t="shared" si="4"/>
        <v>23.92</v>
      </c>
      <c r="BZ11" s="6">
        <f t="shared" si="4"/>
        <v>-141.27000000000001</v>
      </c>
      <c r="CA11" s="6">
        <f t="shared" si="4"/>
        <v>-80.900000000000006</v>
      </c>
      <c r="CB11" s="6">
        <f t="shared" si="4"/>
        <v>0</v>
      </c>
      <c r="CC11" s="6">
        <f t="shared" si="4"/>
        <v>-0.35</v>
      </c>
      <c r="CD11" s="6">
        <f t="shared" si="4"/>
        <v>-0.82</v>
      </c>
      <c r="CE11" s="6">
        <f t="shared" si="5"/>
        <v>0</v>
      </c>
      <c r="CF11" s="6">
        <f t="shared" si="5"/>
        <v>-1.6968478838833759E-6</v>
      </c>
      <c r="CG11" s="6">
        <f t="shared" si="5"/>
        <v>-3.9754721850981945E-6</v>
      </c>
      <c r="CH11" s="67">
        <f t="shared" si="48"/>
        <v>-0.22</v>
      </c>
      <c r="CI11" s="64">
        <f t="shared" si="49"/>
        <v>5143373.1386954347</v>
      </c>
      <c r="CJ11" s="65">
        <f t="shared" si="50"/>
        <v>3771943.1013819654</v>
      </c>
      <c r="CK11" s="66">
        <f t="shared" si="51"/>
        <v>12890.021535505568</v>
      </c>
      <c r="CL11" s="69">
        <f t="shared" si="52"/>
        <v>6378231.8869665386</v>
      </c>
      <c r="CM11" s="6">
        <f t="shared" si="53"/>
        <v>6378245</v>
      </c>
      <c r="CN11" s="6">
        <f t="shared" si="53"/>
        <v>3.352329869259135E-3</v>
      </c>
      <c r="CO11" s="9">
        <f t="shared" si="54"/>
        <v>6.6934216229659433E-3</v>
      </c>
      <c r="CP11" s="9">
        <f t="shared" si="55"/>
        <v>6378244.911930861</v>
      </c>
      <c r="CQ11" s="9">
        <f t="shared" si="56"/>
        <v>2.0209368702047577E-3</v>
      </c>
      <c r="CR11" s="9">
        <f t="shared" si="57"/>
        <v>3.3467108576934797E-3</v>
      </c>
      <c r="CS11" s="9">
        <f t="shared" ca="1" si="58"/>
        <v>1.3618097007062995E-5</v>
      </c>
      <c r="CT11" s="9">
        <f t="shared" ca="1" si="59"/>
        <v>2.0345549672118207E-3</v>
      </c>
      <c r="CU11" s="46">
        <f t="shared" ca="1" si="6"/>
        <v>1.3618097007062995E-5</v>
      </c>
      <c r="CV11" s="70">
        <f t="shared" ca="1" si="60"/>
        <v>0</v>
      </c>
      <c r="CW11" s="71">
        <f t="shared" ca="1" si="61"/>
        <v>2.0345549672118207E-3</v>
      </c>
      <c r="CX11" s="59">
        <f t="shared" ca="1" si="62"/>
        <v>0</v>
      </c>
      <c r="CY11" s="60">
        <f t="shared" ca="1" si="63"/>
        <v>6</v>
      </c>
      <c r="CZ11" s="61">
        <f t="shared" ca="1" si="64"/>
        <v>59.6571</v>
      </c>
      <c r="DA11" s="6">
        <f t="shared" ca="1" si="65"/>
        <v>0.11657141280861491</v>
      </c>
      <c r="DB11" s="6">
        <f t="shared" si="66"/>
        <v>0.63276604640771628</v>
      </c>
      <c r="DC11" s="6">
        <f t="shared" si="67"/>
        <v>0</v>
      </c>
      <c r="DD11" s="6">
        <f t="shared" si="68"/>
        <v>0.63276604640771628</v>
      </c>
      <c r="DE11" s="60">
        <f t="shared" si="69"/>
        <v>36</v>
      </c>
      <c r="DF11" s="60">
        <f t="shared" si="70"/>
        <v>15</v>
      </c>
      <c r="DG11" s="61">
        <f t="shared" si="71"/>
        <v>17.366</v>
      </c>
      <c r="DH11" s="6">
        <f t="shared" si="72"/>
        <v>36.254823878341327</v>
      </c>
      <c r="DI11" s="66">
        <f t="shared" ca="1" si="73"/>
        <v>-3.001755103468895E-4</v>
      </c>
      <c r="DJ11" s="55">
        <f t="shared" si="74"/>
        <v>39</v>
      </c>
      <c r="DK11" s="6">
        <f t="shared" si="75"/>
        <v>-4.7912361870072265E-2</v>
      </c>
      <c r="DL11" s="6">
        <f t="shared" si="76"/>
        <v>6356863.0187730473</v>
      </c>
      <c r="DM11" s="6">
        <f t="shared" si="77"/>
        <v>6.7385254146834087E-3</v>
      </c>
      <c r="DN11" s="72">
        <f t="shared" ca="1" si="78"/>
        <v>6.7384975211760307E-3</v>
      </c>
      <c r="DO11" s="73">
        <f t="shared" ca="1" si="79"/>
        <v>6378245.0883603953</v>
      </c>
      <c r="DP11" s="6">
        <f t="shared" si="80"/>
        <v>1.0050517725429551</v>
      </c>
      <c r="DQ11" s="6">
        <f t="shared" si="81"/>
        <v>-2.5311877419908228E-3</v>
      </c>
      <c r="DR11" s="6">
        <f t="shared" si="82"/>
        <v>2.6558601241364054E-6</v>
      </c>
      <c r="DS11" s="6">
        <f t="shared" si="83"/>
        <v>-3.4165783147131439E-9</v>
      </c>
      <c r="DT11" s="6">
        <f t="shared" si="7"/>
        <v>7</v>
      </c>
      <c r="DU11" s="6">
        <f t="shared" si="7"/>
        <v>0</v>
      </c>
      <c r="DV11" s="6">
        <f t="shared" si="7"/>
        <v>500000</v>
      </c>
      <c r="DW11" s="6">
        <f t="shared" si="7"/>
        <v>1</v>
      </c>
      <c r="DX11" s="74">
        <f t="shared" ca="1" si="84"/>
        <v>12890.030428976437</v>
      </c>
      <c r="DY11" s="58">
        <f t="shared" ca="1" si="85"/>
        <v>-305713.93034284032</v>
      </c>
      <c r="DZ11" s="75">
        <f t="shared" ca="1" si="86"/>
        <v>12904.939659140397</v>
      </c>
      <c r="EA11" s="76">
        <f t="shared" ca="1" si="87"/>
        <v>7194286.06965716</v>
      </c>
    </row>
    <row r="12" spans="1:135" x14ac:dyDescent="0.25">
      <c r="A12" s="4">
        <v>5</v>
      </c>
      <c r="B12" s="4" t="s">
        <v>99</v>
      </c>
      <c r="C12" s="20">
        <v>6378245</v>
      </c>
      <c r="D12" s="21">
        <f t="shared" si="0"/>
        <v>3.352329869259135E-3</v>
      </c>
      <c r="E12" s="20">
        <v>23.92</v>
      </c>
      <c r="F12" s="20">
        <v>-141.27000000000001</v>
      </c>
      <c r="G12" s="20">
        <v>-80.900000000000006</v>
      </c>
      <c r="H12" s="22">
        <v>0</v>
      </c>
      <c r="I12" s="22">
        <v>-0.35</v>
      </c>
      <c r="J12" s="22">
        <v>-0.82</v>
      </c>
      <c r="K12" s="23">
        <v>-0.22</v>
      </c>
      <c r="L12" s="22">
        <v>35.5</v>
      </c>
      <c r="M12" s="4">
        <v>0</v>
      </c>
      <c r="N12" s="24">
        <v>1</v>
      </c>
      <c r="O12" s="4">
        <v>1</v>
      </c>
      <c r="P12" s="4">
        <v>250000</v>
      </c>
      <c r="Q12" s="20">
        <v>-5712900</v>
      </c>
      <c r="R12" s="4" t="s">
        <v>105</v>
      </c>
      <c r="T12" s="53">
        <v>5</v>
      </c>
      <c r="U12" s="26"/>
      <c r="V12" s="26"/>
      <c r="W12" s="54"/>
      <c r="X12" s="55">
        <f t="shared" si="1"/>
        <v>1</v>
      </c>
      <c r="Y12" s="6">
        <f t="shared" si="1"/>
        <v>-12900</v>
      </c>
      <c r="Z12" s="6">
        <f t="shared" si="1"/>
        <v>250000</v>
      </c>
      <c r="AA12" s="6">
        <f t="shared" si="10"/>
        <v>0</v>
      </c>
      <c r="AB12" s="30">
        <f t="shared" si="8"/>
        <v>12900</v>
      </c>
      <c r="AC12" s="30">
        <f t="shared" si="9"/>
        <v>-250000</v>
      </c>
      <c r="AD12" s="6">
        <f t="shared" si="11"/>
        <v>38.5</v>
      </c>
      <c r="AE12" s="6">
        <f t="shared" si="11"/>
        <v>6378245</v>
      </c>
      <c r="AF12" s="6">
        <f t="shared" si="12"/>
        <v>6356863.0187730473</v>
      </c>
      <c r="AG12" s="6">
        <f t="shared" si="13"/>
        <v>3.352329869259135E-3</v>
      </c>
      <c r="AH12" s="8">
        <f t="shared" si="14"/>
        <v>6.6934216229658618E-3</v>
      </c>
      <c r="AI12" s="56">
        <f t="shared" si="15"/>
        <v>6.7385254146834087E-3</v>
      </c>
      <c r="AJ12" s="57">
        <f t="shared" si="16"/>
        <v>6378245.0883603953</v>
      </c>
      <c r="AK12" s="8">
        <f t="shared" si="17"/>
        <v>2.0361285582720838E-3</v>
      </c>
      <c r="AL12" s="8">
        <f t="shared" si="18"/>
        <v>6367558.4882606138</v>
      </c>
      <c r="AM12" s="8">
        <f t="shared" si="19"/>
        <v>16036.473376007938</v>
      </c>
      <c r="AN12" s="8">
        <f t="shared" si="20"/>
        <v>16.826341825445081</v>
      </c>
      <c r="AO12" s="8">
        <f t="shared" si="21"/>
        <v>2.1689203848674052E-2</v>
      </c>
      <c r="AP12" s="8">
        <f t="shared" si="22"/>
        <v>1.5704606433433228E-7</v>
      </c>
      <c r="AQ12" s="8">
        <f t="shared" si="23"/>
        <v>2.5184636976839014E-3</v>
      </c>
      <c r="AR12" s="8">
        <f t="shared" si="24"/>
        <v>3.70015534400603E-6</v>
      </c>
      <c r="AS12" s="8">
        <f t="shared" si="25"/>
        <v>7.4016654475384287E-9</v>
      </c>
      <c r="AT12" s="8">
        <f t="shared" si="26"/>
        <v>6378245.0884971283</v>
      </c>
      <c r="AU12" s="8">
        <f t="shared" si="27"/>
        <v>8.2088351658514316E-2</v>
      </c>
      <c r="AV12" s="8">
        <f t="shared" si="28"/>
        <v>2.0361313720839145E-3</v>
      </c>
      <c r="AW12" s="8">
        <f t="shared" si="29"/>
        <v>1.0067384974780118</v>
      </c>
      <c r="AX12" s="58">
        <f t="shared" si="30"/>
        <v>2.0345549675285794E-3</v>
      </c>
      <c r="AY12" s="59">
        <f t="shared" si="31"/>
        <v>0</v>
      </c>
      <c r="AZ12" s="60">
        <f t="shared" si="32"/>
        <v>6</v>
      </c>
      <c r="BA12" s="61">
        <f t="shared" si="33"/>
        <v>59.657086176349864</v>
      </c>
      <c r="BB12" s="56">
        <f t="shared" si="34"/>
        <v>0.11657141282676385</v>
      </c>
      <c r="BC12" s="56">
        <f t="shared" si="35"/>
        <v>-3.9185715631620689E-2</v>
      </c>
      <c r="BD12" s="56">
        <f t="shared" si="36"/>
        <v>0.63276604638619627</v>
      </c>
      <c r="BE12" s="56">
        <f t="shared" si="37"/>
        <v>36.254823877108315</v>
      </c>
      <c r="BF12" s="62">
        <f t="shared" si="38"/>
        <v>36</v>
      </c>
      <c r="BG12" s="60">
        <f t="shared" si="39"/>
        <v>15</v>
      </c>
      <c r="BH12" s="63">
        <f t="shared" si="40"/>
        <v>17.365957589933601</v>
      </c>
      <c r="BI12" s="64">
        <f t="shared" si="41"/>
        <v>5143373.1390186641</v>
      </c>
      <c r="BJ12" s="65">
        <f t="shared" si="42"/>
        <v>3771943.1014487948</v>
      </c>
      <c r="BK12" s="66">
        <f t="shared" si="43"/>
        <v>12890.021538123134</v>
      </c>
      <c r="BL12" s="55">
        <f t="shared" si="2"/>
        <v>23.92</v>
      </c>
      <c r="BM12" s="6">
        <f t="shared" si="2"/>
        <v>-141.27000000000001</v>
      </c>
      <c r="BN12" s="6">
        <f t="shared" si="2"/>
        <v>-80.900000000000006</v>
      </c>
      <c r="BO12" s="6">
        <f t="shared" si="2"/>
        <v>0</v>
      </c>
      <c r="BP12" s="6">
        <f t="shared" si="2"/>
        <v>-0.35</v>
      </c>
      <c r="BQ12" s="6">
        <f t="shared" si="2"/>
        <v>-0.82</v>
      </c>
      <c r="BR12" s="6">
        <f t="shared" si="3"/>
        <v>0</v>
      </c>
      <c r="BS12" s="6">
        <f t="shared" si="3"/>
        <v>-1.6968478838833759E-6</v>
      </c>
      <c r="BT12" s="6">
        <f t="shared" si="3"/>
        <v>-3.9754721850981945E-6</v>
      </c>
      <c r="BU12" s="67">
        <f t="shared" si="44"/>
        <v>-0.22</v>
      </c>
      <c r="BV12" s="59">
        <f t="shared" si="45"/>
        <v>5143380.9540973902</v>
      </c>
      <c r="BW12" s="60">
        <f t="shared" si="46"/>
        <v>3771821.4489536658</v>
      </c>
      <c r="BX12" s="68">
        <f t="shared" si="47"/>
        <v>12800.391182411484</v>
      </c>
      <c r="BY12" s="55">
        <f t="shared" si="4"/>
        <v>23.92</v>
      </c>
      <c r="BZ12" s="6">
        <f t="shared" si="4"/>
        <v>-141.27000000000001</v>
      </c>
      <c r="CA12" s="6">
        <f t="shared" si="4"/>
        <v>-80.900000000000006</v>
      </c>
      <c r="CB12" s="6">
        <f t="shared" si="4"/>
        <v>0</v>
      </c>
      <c r="CC12" s="6">
        <f t="shared" si="4"/>
        <v>-0.35</v>
      </c>
      <c r="CD12" s="6">
        <f t="shared" si="4"/>
        <v>-0.82</v>
      </c>
      <c r="CE12" s="6">
        <f t="shared" si="5"/>
        <v>0</v>
      </c>
      <c r="CF12" s="6">
        <f t="shared" si="5"/>
        <v>-1.6968478838833759E-6</v>
      </c>
      <c r="CG12" s="6">
        <f t="shared" si="5"/>
        <v>-3.9754721850981945E-6</v>
      </c>
      <c r="CH12" s="67">
        <f t="shared" si="48"/>
        <v>-0.22</v>
      </c>
      <c r="CI12" s="64">
        <f t="shared" si="49"/>
        <v>5143373.1386954347</v>
      </c>
      <c r="CJ12" s="65">
        <f t="shared" si="50"/>
        <v>3771943.1013819654</v>
      </c>
      <c r="CK12" s="66">
        <f t="shared" si="51"/>
        <v>12890.021535505568</v>
      </c>
      <c r="CL12" s="69">
        <f t="shared" si="52"/>
        <v>6378231.8869665386</v>
      </c>
      <c r="CM12" s="6">
        <f t="shared" si="53"/>
        <v>6378245</v>
      </c>
      <c r="CN12" s="6">
        <f t="shared" si="53"/>
        <v>3.352329869259135E-3</v>
      </c>
      <c r="CO12" s="9">
        <f t="shared" si="54"/>
        <v>6.6934216229659433E-3</v>
      </c>
      <c r="CP12" s="9">
        <f t="shared" si="55"/>
        <v>6378244.911930861</v>
      </c>
      <c r="CQ12" s="9">
        <f t="shared" si="56"/>
        <v>2.0209368702047577E-3</v>
      </c>
      <c r="CR12" s="9">
        <f t="shared" si="57"/>
        <v>3.3467108576934797E-3</v>
      </c>
      <c r="CS12" s="9">
        <f t="shared" ca="1" si="58"/>
        <v>1.3618097007062995E-5</v>
      </c>
      <c r="CT12" s="9">
        <f t="shared" ca="1" si="59"/>
        <v>2.0345549672118207E-3</v>
      </c>
      <c r="CU12" s="46">
        <f t="shared" ca="1" si="6"/>
        <v>1.3618097007062995E-5</v>
      </c>
      <c r="CV12" s="70">
        <f t="shared" ca="1" si="60"/>
        <v>0</v>
      </c>
      <c r="CW12" s="71">
        <f t="shared" ca="1" si="61"/>
        <v>2.0345549672118207E-3</v>
      </c>
      <c r="CX12" s="59">
        <f t="shared" ca="1" si="62"/>
        <v>0</v>
      </c>
      <c r="CY12" s="60">
        <f t="shared" ca="1" si="63"/>
        <v>6</v>
      </c>
      <c r="CZ12" s="61">
        <f t="shared" ca="1" si="64"/>
        <v>59.6571</v>
      </c>
      <c r="DA12" s="6">
        <f t="shared" ca="1" si="65"/>
        <v>0.11657141280861491</v>
      </c>
      <c r="DB12" s="6">
        <f t="shared" si="66"/>
        <v>0.63276604640771628</v>
      </c>
      <c r="DC12" s="6">
        <f t="shared" si="67"/>
        <v>0</v>
      </c>
      <c r="DD12" s="6">
        <f t="shared" si="68"/>
        <v>0.63276604640771628</v>
      </c>
      <c r="DE12" s="60">
        <f t="shared" si="69"/>
        <v>36</v>
      </c>
      <c r="DF12" s="60">
        <f t="shared" si="70"/>
        <v>15</v>
      </c>
      <c r="DG12" s="61">
        <f t="shared" si="71"/>
        <v>17.366</v>
      </c>
      <c r="DH12" s="6">
        <f t="shared" si="72"/>
        <v>36.254823878341327</v>
      </c>
      <c r="DI12" s="66">
        <f t="shared" ca="1" si="73"/>
        <v>-3.001755103468895E-4</v>
      </c>
      <c r="DJ12" s="55">
        <f t="shared" si="74"/>
        <v>39</v>
      </c>
      <c r="DK12" s="6">
        <f t="shared" si="75"/>
        <v>-4.7912361870072265E-2</v>
      </c>
      <c r="DL12" s="6">
        <f t="shared" si="76"/>
        <v>6356863.0187730473</v>
      </c>
      <c r="DM12" s="6">
        <f t="shared" si="77"/>
        <v>6.7385254146834087E-3</v>
      </c>
      <c r="DN12" s="72">
        <f t="shared" ca="1" si="78"/>
        <v>6.7384975211760307E-3</v>
      </c>
      <c r="DO12" s="73">
        <f t="shared" ca="1" si="79"/>
        <v>6378245.0883603953</v>
      </c>
      <c r="DP12" s="6">
        <f t="shared" si="80"/>
        <v>1.0050517725429551</v>
      </c>
      <c r="DQ12" s="6">
        <f t="shared" si="81"/>
        <v>-2.5311877419908228E-3</v>
      </c>
      <c r="DR12" s="6">
        <f t="shared" si="82"/>
        <v>2.6558601241364054E-6</v>
      </c>
      <c r="DS12" s="6">
        <f t="shared" si="83"/>
        <v>-3.4165783147131439E-9</v>
      </c>
      <c r="DT12" s="6">
        <f t="shared" si="7"/>
        <v>7</v>
      </c>
      <c r="DU12" s="6">
        <f t="shared" si="7"/>
        <v>0</v>
      </c>
      <c r="DV12" s="6">
        <f t="shared" si="7"/>
        <v>500000</v>
      </c>
      <c r="DW12" s="6">
        <f t="shared" si="7"/>
        <v>1</v>
      </c>
      <c r="DX12" s="74">
        <f t="shared" ca="1" si="84"/>
        <v>12890.030428976437</v>
      </c>
      <c r="DY12" s="58">
        <f t="shared" ca="1" si="85"/>
        <v>-305713.93034284032</v>
      </c>
      <c r="DZ12" s="75">
        <f t="shared" ca="1" si="86"/>
        <v>12904.939659140397</v>
      </c>
      <c r="EA12" s="76">
        <f t="shared" ca="1" si="87"/>
        <v>7194286.06965716</v>
      </c>
    </row>
    <row r="13" spans="1:135" x14ac:dyDescent="0.25">
      <c r="A13" s="4">
        <v>6</v>
      </c>
      <c r="B13" s="4" t="s">
        <v>100</v>
      </c>
      <c r="C13" s="20">
        <v>6378245</v>
      </c>
      <c r="D13" s="21">
        <f t="shared" si="0"/>
        <v>3.352329869259135E-3</v>
      </c>
      <c r="E13" s="20">
        <v>23.92</v>
      </c>
      <c r="F13" s="20">
        <v>-141.27000000000001</v>
      </c>
      <c r="G13" s="20">
        <v>-80.900000000000006</v>
      </c>
      <c r="H13" s="22">
        <v>0</v>
      </c>
      <c r="I13" s="22">
        <v>-0.35</v>
      </c>
      <c r="J13" s="22">
        <v>-0.82</v>
      </c>
      <c r="K13" s="23">
        <v>-0.22</v>
      </c>
      <c r="L13" s="22">
        <v>38.5</v>
      </c>
      <c r="M13" s="4">
        <v>0</v>
      </c>
      <c r="N13" s="24">
        <v>1</v>
      </c>
      <c r="O13" s="4">
        <v>2</v>
      </c>
      <c r="P13" s="4">
        <v>250000</v>
      </c>
      <c r="Q13" s="20">
        <v>-5712900</v>
      </c>
      <c r="R13" s="4" t="s">
        <v>105</v>
      </c>
      <c r="T13" s="53">
        <v>6</v>
      </c>
      <c r="U13" s="26"/>
      <c r="V13" s="26"/>
      <c r="W13" s="54"/>
      <c r="X13" s="55">
        <f t="shared" si="1"/>
        <v>1</v>
      </c>
      <c r="Y13" s="6">
        <f t="shared" si="1"/>
        <v>-12900</v>
      </c>
      <c r="Z13" s="6">
        <f t="shared" si="1"/>
        <v>250000</v>
      </c>
      <c r="AA13" s="6">
        <f t="shared" si="10"/>
        <v>0</v>
      </c>
      <c r="AB13" s="30">
        <f t="shared" si="8"/>
        <v>12900</v>
      </c>
      <c r="AC13" s="30">
        <f t="shared" si="9"/>
        <v>-250000</v>
      </c>
      <c r="AD13" s="6">
        <f t="shared" si="11"/>
        <v>38.5</v>
      </c>
      <c r="AE13" s="6">
        <f t="shared" si="11"/>
        <v>6378245</v>
      </c>
      <c r="AF13" s="6">
        <f t="shared" si="12"/>
        <v>6356863.0187730473</v>
      </c>
      <c r="AG13" s="6">
        <f t="shared" si="13"/>
        <v>3.352329869259135E-3</v>
      </c>
      <c r="AH13" s="8">
        <f t="shared" si="14"/>
        <v>6.6934216229658618E-3</v>
      </c>
      <c r="AI13" s="56">
        <f t="shared" si="15"/>
        <v>6.7385254146834087E-3</v>
      </c>
      <c r="AJ13" s="57">
        <f t="shared" si="16"/>
        <v>6378245.0883603953</v>
      </c>
      <c r="AK13" s="8">
        <f t="shared" si="17"/>
        <v>2.0361285582720838E-3</v>
      </c>
      <c r="AL13" s="8">
        <f t="shared" si="18"/>
        <v>6367558.4882606138</v>
      </c>
      <c r="AM13" s="8">
        <f t="shared" si="19"/>
        <v>16036.473376007938</v>
      </c>
      <c r="AN13" s="8">
        <f t="shared" si="20"/>
        <v>16.826341825445081</v>
      </c>
      <c r="AO13" s="8">
        <f t="shared" si="21"/>
        <v>2.1689203848674052E-2</v>
      </c>
      <c r="AP13" s="8">
        <f t="shared" si="22"/>
        <v>1.5704606433433228E-7</v>
      </c>
      <c r="AQ13" s="8">
        <f t="shared" si="23"/>
        <v>2.5184636976839014E-3</v>
      </c>
      <c r="AR13" s="8">
        <f t="shared" si="24"/>
        <v>3.70015534400603E-6</v>
      </c>
      <c r="AS13" s="8">
        <f t="shared" si="25"/>
        <v>7.4016654475384287E-9</v>
      </c>
      <c r="AT13" s="8">
        <f t="shared" si="26"/>
        <v>6378245.0884971283</v>
      </c>
      <c r="AU13" s="8">
        <f t="shared" si="27"/>
        <v>8.2088351658514316E-2</v>
      </c>
      <c r="AV13" s="8">
        <f t="shared" si="28"/>
        <v>2.0361313720839145E-3</v>
      </c>
      <c r="AW13" s="8">
        <f t="shared" si="29"/>
        <v>1.0067384974780118</v>
      </c>
      <c r="AX13" s="58">
        <f t="shared" si="30"/>
        <v>2.0345549675285794E-3</v>
      </c>
      <c r="AY13" s="59">
        <f t="shared" si="31"/>
        <v>0</v>
      </c>
      <c r="AZ13" s="60">
        <f t="shared" si="32"/>
        <v>6</v>
      </c>
      <c r="BA13" s="61">
        <f t="shared" si="33"/>
        <v>59.657086176349864</v>
      </c>
      <c r="BB13" s="56">
        <f t="shared" si="34"/>
        <v>0.11657141282676385</v>
      </c>
      <c r="BC13" s="56">
        <f t="shared" si="35"/>
        <v>-3.9185715631620689E-2</v>
      </c>
      <c r="BD13" s="56">
        <f t="shared" si="36"/>
        <v>0.63276604638619627</v>
      </c>
      <c r="BE13" s="56">
        <f t="shared" si="37"/>
        <v>36.254823877108315</v>
      </c>
      <c r="BF13" s="62">
        <f t="shared" si="38"/>
        <v>36</v>
      </c>
      <c r="BG13" s="60">
        <f t="shared" si="39"/>
        <v>15</v>
      </c>
      <c r="BH13" s="63">
        <f t="shared" si="40"/>
        <v>17.365957589933601</v>
      </c>
      <c r="BI13" s="64">
        <f t="shared" si="41"/>
        <v>5143373.1390186641</v>
      </c>
      <c r="BJ13" s="65">
        <f t="shared" si="42"/>
        <v>3771943.1014487948</v>
      </c>
      <c r="BK13" s="66">
        <f t="shared" si="43"/>
        <v>12890.021538123134</v>
      </c>
      <c r="BL13" s="55">
        <f t="shared" si="2"/>
        <v>23.92</v>
      </c>
      <c r="BM13" s="6">
        <f t="shared" si="2"/>
        <v>-141.27000000000001</v>
      </c>
      <c r="BN13" s="6">
        <f t="shared" si="2"/>
        <v>-80.900000000000006</v>
      </c>
      <c r="BO13" s="6">
        <f t="shared" si="2"/>
        <v>0</v>
      </c>
      <c r="BP13" s="6">
        <f t="shared" si="2"/>
        <v>-0.35</v>
      </c>
      <c r="BQ13" s="6">
        <f t="shared" si="2"/>
        <v>-0.82</v>
      </c>
      <c r="BR13" s="6">
        <f t="shared" si="3"/>
        <v>0</v>
      </c>
      <c r="BS13" s="6">
        <f t="shared" si="3"/>
        <v>-1.6968478838833759E-6</v>
      </c>
      <c r="BT13" s="6">
        <f t="shared" si="3"/>
        <v>-3.9754721850981945E-6</v>
      </c>
      <c r="BU13" s="67">
        <f t="shared" si="44"/>
        <v>-0.22</v>
      </c>
      <c r="BV13" s="59">
        <f t="shared" si="45"/>
        <v>5143380.9540973902</v>
      </c>
      <c r="BW13" s="60">
        <f t="shared" si="46"/>
        <v>3771821.4489536658</v>
      </c>
      <c r="BX13" s="68">
        <f t="shared" si="47"/>
        <v>12800.391182411484</v>
      </c>
      <c r="BY13" s="55">
        <f t="shared" si="4"/>
        <v>23.92</v>
      </c>
      <c r="BZ13" s="6">
        <f t="shared" si="4"/>
        <v>-141.27000000000001</v>
      </c>
      <c r="CA13" s="6">
        <f t="shared" si="4"/>
        <v>-80.900000000000006</v>
      </c>
      <c r="CB13" s="6">
        <f t="shared" si="4"/>
        <v>0</v>
      </c>
      <c r="CC13" s="6">
        <f t="shared" si="4"/>
        <v>-0.35</v>
      </c>
      <c r="CD13" s="6">
        <f t="shared" si="4"/>
        <v>-0.82</v>
      </c>
      <c r="CE13" s="6">
        <f t="shared" si="5"/>
        <v>0</v>
      </c>
      <c r="CF13" s="6">
        <f t="shared" si="5"/>
        <v>-1.6968478838833759E-6</v>
      </c>
      <c r="CG13" s="6">
        <f t="shared" si="5"/>
        <v>-3.9754721850981945E-6</v>
      </c>
      <c r="CH13" s="67">
        <f t="shared" si="48"/>
        <v>-0.22</v>
      </c>
      <c r="CI13" s="64">
        <f t="shared" si="49"/>
        <v>5143373.1386954347</v>
      </c>
      <c r="CJ13" s="65">
        <f t="shared" si="50"/>
        <v>3771943.1013819654</v>
      </c>
      <c r="CK13" s="66">
        <f t="shared" si="51"/>
        <v>12890.021535505568</v>
      </c>
      <c r="CL13" s="69">
        <f t="shared" si="52"/>
        <v>6378231.8869665386</v>
      </c>
      <c r="CM13" s="6">
        <f t="shared" si="53"/>
        <v>6378245</v>
      </c>
      <c r="CN13" s="6">
        <f t="shared" si="53"/>
        <v>3.352329869259135E-3</v>
      </c>
      <c r="CO13" s="9">
        <f t="shared" si="54"/>
        <v>6.6934216229659433E-3</v>
      </c>
      <c r="CP13" s="9">
        <f t="shared" si="55"/>
        <v>6378244.911930861</v>
      </c>
      <c r="CQ13" s="9">
        <f t="shared" si="56"/>
        <v>2.0209368702047577E-3</v>
      </c>
      <c r="CR13" s="9">
        <f t="shared" si="57"/>
        <v>3.3467108576934797E-3</v>
      </c>
      <c r="CS13" s="9">
        <f t="shared" ca="1" si="58"/>
        <v>1.3618097007062995E-5</v>
      </c>
      <c r="CT13" s="9">
        <f t="shared" ca="1" si="59"/>
        <v>2.0345549672118207E-3</v>
      </c>
      <c r="CU13" s="46">
        <f t="shared" ca="1" si="6"/>
        <v>1.3618097007062995E-5</v>
      </c>
      <c r="CV13" s="70">
        <f t="shared" ca="1" si="60"/>
        <v>0</v>
      </c>
      <c r="CW13" s="71">
        <f t="shared" ca="1" si="61"/>
        <v>2.0345549672118207E-3</v>
      </c>
      <c r="CX13" s="59">
        <f t="shared" ca="1" si="62"/>
        <v>0</v>
      </c>
      <c r="CY13" s="60">
        <f t="shared" ca="1" si="63"/>
        <v>6</v>
      </c>
      <c r="CZ13" s="61">
        <f t="shared" ca="1" si="64"/>
        <v>59.6571</v>
      </c>
      <c r="DA13" s="6">
        <f t="shared" ca="1" si="65"/>
        <v>0.11657141280861491</v>
      </c>
      <c r="DB13" s="6">
        <f t="shared" si="66"/>
        <v>0.63276604640771628</v>
      </c>
      <c r="DC13" s="6">
        <f t="shared" si="67"/>
        <v>0</v>
      </c>
      <c r="DD13" s="6">
        <f t="shared" si="68"/>
        <v>0.63276604640771628</v>
      </c>
      <c r="DE13" s="60">
        <f t="shared" si="69"/>
        <v>36</v>
      </c>
      <c r="DF13" s="60">
        <f t="shared" si="70"/>
        <v>15</v>
      </c>
      <c r="DG13" s="61">
        <f t="shared" si="71"/>
        <v>17.366</v>
      </c>
      <c r="DH13" s="6">
        <f t="shared" si="72"/>
        <v>36.254823878341327</v>
      </c>
      <c r="DI13" s="66">
        <f t="shared" ca="1" si="73"/>
        <v>-3.001755103468895E-4</v>
      </c>
      <c r="DJ13" s="55">
        <f t="shared" si="74"/>
        <v>39</v>
      </c>
      <c r="DK13" s="6">
        <f t="shared" si="75"/>
        <v>-4.7912361870072265E-2</v>
      </c>
      <c r="DL13" s="6">
        <f t="shared" si="76"/>
        <v>6356863.0187730473</v>
      </c>
      <c r="DM13" s="6">
        <f t="shared" si="77"/>
        <v>6.7385254146834087E-3</v>
      </c>
      <c r="DN13" s="72">
        <f t="shared" ca="1" si="78"/>
        <v>6.7384975211760307E-3</v>
      </c>
      <c r="DO13" s="73">
        <f t="shared" ca="1" si="79"/>
        <v>6378245.0883603953</v>
      </c>
      <c r="DP13" s="6">
        <f t="shared" si="80"/>
        <v>1.0050517725429551</v>
      </c>
      <c r="DQ13" s="6">
        <f t="shared" si="81"/>
        <v>-2.5311877419908228E-3</v>
      </c>
      <c r="DR13" s="6">
        <f t="shared" si="82"/>
        <v>2.6558601241364054E-6</v>
      </c>
      <c r="DS13" s="6">
        <f t="shared" si="83"/>
        <v>-3.4165783147131439E-9</v>
      </c>
      <c r="DT13" s="6">
        <f t="shared" si="7"/>
        <v>7</v>
      </c>
      <c r="DU13" s="6">
        <f t="shared" si="7"/>
        <v>0</v>
      </c>
      <c r="DV13" s="6">
        <f t="shared" si="7"/>
        <v>500000</v>
      </c>
      <c r="DW13" s="6">
        <f t="shared" si="7"/>
        <v>1</v>
      </c>
      <c r="DX13" s="74">
        <f t="shared" ca="1" si="84"/>
        <v>12890.030428976437</v>
      </c>
      <c r="DY13" s="58">
        <f t="shared" ca="1" si="85"/>
        <v>-305713.93034284032</v>
      </c>
      <c r="DZ13" s="75">
        <f ca="1">(DX13+((DO13*(COS(CW13))*(SIN(CW13))*DK13^2)/2)*(1+((DK13^2)*((COS(CW13))^2)/12)*(5-(TAN(CW13))^2+9*DN13)+((DK13^4)*((COS(CW13))^4)/360)*(61-58*(TAN(CW13))^2+(TAN(CW13))^4)))*DW13+DU13</f>
        <v>12904.939659140397</v>
      </c>
      <c r="EA13" s="76">
        <f ca="1">DY13+DV13+DT13*1000000</f>
        <v>7194286.06965716</v>
      </c>
    </row>
    <row r="14" spans="1:135" x14ac:dyDescent="0.25">
      <c r="A14" s="4">
        <v>7</v>
      </c>
      <c r="B14" s="4" t="s">
        <v>101</v>
      </c>
      <c r="C14" s="20">
        <v>6378137</v>
      </c>
      <c r="D14" s="21">
        <f>1/298.257223563</f>
        <v>3.3528106647474805E-3</v>
      </c>
      <c r="E14" s="20">
        <v>0</v>
      </c>
      <c r="F14" s="20">
        <v>0</v>
      </c>
      <c r="G14" s="20">
        <v>0</v>
      </c>
      <c r="H14" s="22">
        <v>0</v>
      </c>
      <c r="I14" s="22">
        <v>0</v>
      </c>
      <c r="J14" s="22">
        <v>0</v>
      </c>
      <c r="K14" s="23">
        <v>0</v>
      </c>
      <c r="L14" s="22">
        <v>39</v>
      </c>
      <c r="M14" s="4">
        <v>0</v>
      </c>
      <c r="N14" s="24">
        <v>0.99960000000000004</v>
      </c>
      <c r="O14" s="4">
        <v>37</v>
      </c>
      <c r="P14" s="4">
        <v>500000</v>
      </c>
      <c r="Q14" s="20">
        <v>0</v>
      </c>
      <c r="R14" s="4"/>
      <c r="T14" s="53">
        <v>7</v>
      </c>
      <c r="U14" s="26"/>
      <c r="V14" s="26"/>
      <c r="W14" s="54"/>
      <c r="X14" s="55">
        <f t="shared" si="1"/>
        <v>1</v>
      </c>
      <c r="Y14" s="6">
        <f t="shared" si="1"/>
        <v>-12900</v>
      </c>
      <c r="Z14" s="6">
        <f t="shared" si="1"/>
        <v>250000</v>
      </c>
      <c r="AA14" s="6">
        <f t="shared" si="10"/>
        <v>0</v>
      </c>
      <c r="AB14" s="30">
        <f t="shared" si="8"/>
        <v>12900</v>
      </c>
      <c r="AC14" s="30">
        <f t="shared" si="9"/>
        <v>-250000</v>
      </c>
      <c r="AD14" s="6">
        <f t="shared" si="11"/>
        <v>38.5</v>
      </c>
      <c r="AE14" s="6">
        <f t="shared" si="11"/>
        <v>6378245</v>
      </c>
      <c r="AF14" s="6">
        <f t="shared" si="12"/>
        <v>6356863.0187730473</v>
      </c>
      <c r="AG14" s="6">
        <f t="shared" si="13"/>
        <v>3.352329869259135E-3</v>
      </c>
      <c r="AH14" s="8">
        <f t="shared" si="14"/>
        <v>6.6934216229658618E-3</v>
      </c>
      <c r="AI14" s="56">
        <f t="shared" si="15"/>
        <v>6.7385254146834087E-3</v>
      </c>
      <c r="AJ14" s="57">
        <f t="shared" si="16"/>
        <v>6378245.0883603953</v>
      </c>
      <c r="AK14" s="8">
        <f t="shared" si="17"/>
        <v>2.0361285582720838E-3</v>
      </c>
      <c r="AL14" s="8">
        <f t="shared" si="18"/>
        <v>6367558.4882606138</v>
      </c>
      <c r="AM14" s="8">
        <f t="shared" si="19"/>
        <v>16036.473376007938</v>
      </c>
      <c r="AN14" s="8">
        <f t="shared" si="20"/>
        <v>16.826341825445081</v>
      </c>
      <c r="AO14" s="8">
        <f t="shared" si="21"/>
        <v>2.1689203848674052E-2</v>
      </c>
      <c r="AP14" s="8">
        <f t="shared" si="22"/>
        <v>1.5704606433433228E-7</v>
      </c>
      <c r="AQ14" s="8">
        <f t="shared" si="23"/>
        <v>2.5184636976839014E-3</v>
      </c>
      <c r="AR14" s="8">
        <f t="shared" si="24"/>
        <v>3.70015534400603E-6</v>
      </c>
      <c r="AS14" s="8">
        <f t="shared" si="25"/>
        <v>7.4016654475384287E-9</v>
      </c>
      <c r="AT14" s="8">
        <f t="shared" si="26"/>
        <v>6378245.0884971283</v>
      </c>
      <c r="AU14" s="8">
        <f t="shared" si="27"/>
        <v>8.2088351658514316E-2</v>
      </c>
      <c r="AV14" s="8">
        <f t="shared" si="28"/>
        <v>2.0361313720839145E-3</v>
      </c>
      <c r="AW14" s="8">
        <f t="shared" si="29"/>
        <v>1.0067384974780118</v>
      </c>
      <c r="AX14" s="58">
        <f t="shared" si="30"/>
        <v>2.0345549675285794E-3</v>
      </c>
      <c r="AY14" s="59">
        <f t="shared" si="31"/>
        <v>0</v>
      </c>
      <c r="AZ14" s="60">
        <f t="shared" si="32"/>
        <v>6</v>
      </c>
      <c r="BA14" s="61">
        <f t="shared" si="33"/>
        <v>59.657086176349864</v>
      </c>
      <c r="BB14" s="56">
        <f t="shared" si="34"/>
        <v>0.11657141282676385</v>
      </c>
      <c r="BC14" s="56">
        <f t="shared" si="35"/>
        <v>-3.9185715631620689E-2</v>
      </c>
      <c r="BD14" s="56">
        <f t="shared" si="36"/>
        <v>0.63276604638619627</v>
      </c>
      <c r="BE14" s="56">
        <f t="shared" si="37"/>
        <v>36.254823877108315</v>
      </c>
      <c r="BF14" s="62">
        <f t="shared" si="38"/>
        <v>36</v>
      </c>
      <c r="BG14" s="60">
        <f t="shared" si="39"/>
        <v>15</v>
      </c>
      <c r="BH14" s="63">
        <f t="shared" si="40"/>
        <v>17.365957589933601</v>
      </c>
      <c r="BI14" s="64">
        <f t="shared" si="41"/>
        <v>5143373.1390186641</v>
      </c>
      <c r="BJ14" s="65">
        <f t="shared" si="42"/>
        <v>3771943.1014487948</v>
      </c>
      <c r="BK14" s="66">
        <f t="shared" si="43"/>
        <v>12890.021538123134</v>
      </c>
      <c r="BL14" s="55">
        <f t="shared" si="2"/>
        <v>23.92</v>
      </c>
      <c r="BM14" s="6">
        <f t="shared" si="2"/>
        <v>-141.27000000000001</v>
      </c>
      <c r="BN14" s="6">
        <f t="shared" si="2"/>
        <v>-80.900000000000006</v>
      </c>
      <c r="BO14" s="6">
        <f t="shared" si="2"/>
        <v>0</v>
      </c>
      <c r="BP14" s="6">
        <f t="shared" si="2"/>
        <v>-0.35</v>
      </c>
      <c r="BQ14" s="6">
        <f t="shared" si="2"/>
        <v>-0.82</v>
      </c>
      <c r="BR14" s="6">
        <f t="shared" si="3"/>
        <v>0</v>
      </c>
      <c r="BS14" s="6">
        <f t="shared" si="3"/>
        <v>-1.6968478838833759E-6</v>
      </c>
      <c r="BT14" s="6">
        <f t="shared" si="3"/>
        <v>-3.9754721850981945E-6</v>
      </c>
      <c r="BU14" s="67">
        <f t="shared" si="44"/>
        <v>-0.22</v>
      </c>
      <c r="BV14" s="59">
        <f t="shared" si="45"/>
        <v>5143380.9540973902</v>
      </c>
      <c r="BW14" s="60">
        <f t="shared" si="46"/>
        <v>3771821.4489536658</v>
      </c>
      <c r="BX14" s="68">
        <f t="shared" si="47"/>
        <v>12800.391182411484</v>
      </c>
      <c r="BY14" s="55">
        <f t="shared" si="4"/>
        <v>23.92</v>
      </c>
      <c r="BZ14" s="6">
        <f t="shared" si="4"/>
        <v>-141.27000000000001</v>
      </c>
      <c r="CA14" s="6">
        <f t="shared" si="4"/>
        <v>-80.900000000000006</v>
      </c>
      <c r="CB14" s="6">
        <f t="shared" si="4"/>
        <v>0</v>
      </c>
      <c r="CC14" s="6">
        <f t="shared" si="4"/>
        <v>-0.35</v>
      </c>
      <c r="CD14" s="6">
        <f t="shared" si="4"/>
        <v>-0.82</v>
      </c>
      <c r="CE14" s="6">
        <f t="shared" si="5"/>
        <v>0</v>
      </c>
      <c r="CF14" s="6">
        <f t="shared" si="5"/>
        <v>-1.6968478838833759E-6</v>
      </c>
      <c r="CG14" s="6">
        <f t="shared" si="5"/>
        <v>-3.9754721850981945E-6</v>
      </c>
      <c r="CH14" s="67">
        <f t="shared" si="48"/>
        <v>-0.22</v>
      </c>
      <c r="CI14" s="64">
        <f t="shared" si="49"/>
        <v>5143373.1386954347</v>
      </c>
      <c r="CJ14" s="65">
        <f t="shared" si="50"/>
        <v>3771943.1013819654</v>
      </c>
      <c r="CK14" s="66">
        <f t="shared" si="51"/>
        <v>12890.021535505568</v>
      </c>
      <c r="CL14" s="69">
        <f t="shared" si="52"/>
        <v>6378231.8869665386</v>
      </c>
      <c r="CM14" s="6">
        <f t="shared" si="53"/>
        <v>6378245</v>
      </c>
      <c r="CN14" s="6">
        <f t="shared" si="53"/>
        <v>3.352329869259135E-3</v>
      </c>
      <c r="CO14" s="9">
        <f t="shared" si="54"/>
        <v>6.6934216229659433E-3</v>
      </c>
      <c r="CP14" s="9">
        <f t="shared" si="55"/>
        <v>6378244.911930861</v>
      </c>
      <c r="CQ14" s="9">
        <f t="shared" si="56"/>
        <v>2.0209368702047577E-3</v>
      </c>
      <c r="CR14" s="9">
        <f t="shared" si="57"/>
        <v>3.3467108576934797E-3</v>
      </c>
      <c r="CS14" s="9">
        <f t="shared" ca="1" si="58"/>
        <v>1.3618097007062995E-5</v>
      </c>
      <c r="CT14" s="9">
        <f t="shared" ca="1" si="59"/>
        <v>2.0345549672118207E-3</v>
      </c>
      <c r="CU14" s="46">
        <f t="shared" ca="1" si="6"/>
        <v>1.3618097007062995E-5</v>
      </c>
      <c r="CV14" s="70">
        <f t="shared" ca="1" si="60"/>
        <v>0</v>
      </c>
      <c r="CW14" s="71">
        <f t="shared" ca="1" si="61"/>
        <v>2.0345549672118207E-3</v>
      </c>
      <c r="CX14" s="59">
        <f t="shared" ca="1" si="62"/>
        <v>0</v>
      </c>
      <c r="CY14" s="60">
        <f t="shared" ca="1" si="63"/>
        <v>6</v>
      </c>
      <c r="CZ14" s="61">
        <f t="shared" ca="1" si="64"/>
        <v>59.6571</v>
      </c>
      <c r="DA14" s="6">
        <f t="shared" ca="1" si="65"/>
        <v>0.11657141280861491</v>
      </c>
      <c r="DB14" s="6">
        <f t="shared" si="66"/>
        <v>0.63276604640771628</v>
      </c>
      <c r="DC14" s="6">
        <f t="shared" si="67"/>
        <v>0</v>
      </c>
      <c r="DD14" s="6">
        <f t="shared" si="68"/>
        <v>0.63276604640771628</v>
      </c>
      <c r="DE14" s="60">
        <f t="shared" si="69"/>
        <v>36</v>
      </c>
      <c r="DF14" s="60">
        <f t="shared" si="70"/>
        <v>15</v>
      </c>
      <c r="DG14" s="61">
        <f t="shared" si="71"/>
        <v>17.366</v>
      </c>
      <c r="DH14" s="6">
        <f t="shared" si="72"/>
        <v>36.254823878341327</v>
      </c>
      <c r="DI14" s="66">
        <f t="shared" ca="1" si="73"/>
        <v>-3.001755103468895E-4</v>
      </c>
      <c r="DJ14" s="55">
        <f t="shared" si="74"/>
        <v>39</v>
      </c>
      <c r="DK14" s="6">
        <f t="shared" si="75"/>
        <v>-4.7912361870072265E-2</v>
      </c>
      <c r="DL14" s="6">
        <f t="shared" si="76"/>
        <v>6356863.0187730473</v>
      </c>
      <c r="DM14" s="6">
        <f t="shared" si="77"/>
        <v>6.7385254146834087E-3</v>
      </c>
      <c r="DN14" s="72">
        <f t="shared" ca="1" si="78"/>
        <v>6.7384975211760307E-3</v>
      </c>
      <c r="DO14" s="73">
        <f t="shared" ca="1" si="79"/>
        <v>6378245.0883603953</v>
      </c>
      <c r="DP14" s="6">
        <f t="shared" si="80"/>
        <v>1.0050517725429551</v>
      </c>
      <c r="DQ14" s="6">
        <f t="shared" si="81"/>
        <v>-2.5311877419908228E-3</v>
      </c>
      <c r="DR14" s="6">
        <f t="shared" si="82"/>
        <v>2.6558601241364054E-6</v>
      </c>
      <c r="DS14" s="6">
        <f t="shared" si="83"/>
        <v>-3.4165783147131439E-9</v>
      </c>
      <c r="DT14" s="6">
        <f t="shared" si="7"/>
        <v>7</v>
      </c>
      <c r="DU14" s="6">
        <f t="shared" si="7"/>
        <v>0</v>
      </c>
      <c r="DV14" s="6">
        <f t="shared" si="7"/>
        <v>500000</v>
      </c>
      <c r="DW14" s="6">
        <f t="shared" si="7"/>
        <v>1</v>
      </c>
      <c r="DX14" s="74">
        <f t="shared" ca="1" si="84"/>
        <v>12890.030428976437</v>
      </c>
      <c r="DY14" s="58">
        <f t="shared" ca="1" si="85"/>
        <v>-305713.93034284032</v>
      </c>
      <c r="DZ14" s="64">
        <f t="shared" ca="1" si="86"/>
        <v>12904.939659140397</v>
      </c>
      <c r="EA14" s="66">
        <f t="shared" ca="1" si="87"/>
        <v>7194286.06965716</v>
      </c>
    </row>
    <row r="15" spans="1:135" x14ac:dyDescent="0.25">
      <c r="A15" s="4">
        <v>8</v>
      </c>
      <c r="B15" s="4" t="s">
        <v>102</v>
      </c>
      <c r="C15" s="20">
        <v>6378136</v>
      </c>
      <c r="D15" s="21">
        <f>1/298.25784</f>
        <v>3.3528037351842955E-3</v>
      </c>
      <c r="E15" s="20">
        <v>-0.36</v>
      </c>
      <c r="F15" s="20">
        <v>0.08</v>
      </c>
      <c r="G15" s="20">
        <v>0.18</v>
      </c>
      <c r="H15" s="22">
        <v>0</v>
      </c>
      <c r="I15" s="22">
        <v>0</v>
      </c>
      <c r="J15" s="22">
        <v>0</v>
      </c>
      <c r="K15" s="23">
        <v>0</v>
      </c>
      <c r="L15" s="22">
        <v>39</v>
      </c>
      <c r="M15" s="4">
        <v>0</v>
      </c>
      <c r="N15" s="24">
        <v>1</v>
      </c>
      <c r="O15" s="4">
        <v>7</v>
      </c>
      <c r="P15" s="4">
        <v>500000</v>
      </c>
      <c r="Q15" s="20">
        <v>0</v>
      </c>
      <c r="R15" s="4" t="s">
        <v>103</v>
      </c>
      <c r="T15" s="53">
        <v>8</v>
      </c>
      <c r="U15" s="26"/>
      <c r="V15" s="26"/>
      <c r="W15" s="54"/>
      <c r="X15" s="55">
        <f t="shared" si="1"/>
        <v>1</v>
      </c>
      <c r="Y15" s="6">
        <f t="shared" si="1"/>
        <v>-12900</v>
      </c>
      <c r="Z15" s="6">
        <f t="shared" si="1"/>
        <v>250000</v>
      </c>
      <c r="AA15" s="6">
        <f t="shared" si="10"/>
        <v>0</v>
      </c>
      <c r="AB15" s="30">
        <f t="shared" si="8"/>
        <v>12900</v>
      </c>
      <c r="AC15" s="30">
        <f t="shared" si="9"/>
        <v>-250000</v>
      </c>
      <c r="AD15" s="6">
        <f t="shared" si="11"/>
        <v>38.5</v>
      </c>
      <c r="AE15" s="6">
        <f t="shared" si="11"/>
        <v>6378245</v>
      </c>
      <c r="AF15" s="6">
        <f t="shared" si="12"/>
        <v>6356863.0187730473</v>
      </c>
      <c r="AG15" s="6">
        <f t="shared" si="13"/>
        <v>3.352329869259135E-3</v>
      </c>
      <c r="AH15" s="8">
        <f t="shared" si="14"/>
        <v>6.6934216229658618E-3</v>
      </c>
      <c r="AI15" s="56">
        <f t="shared" si="15"/>
        <v>6.7385254146834087E-3</v>
      </c>
      <c r="AJ15" s="57">
        <f t="shared" si="16"/>
        <v>6378245.0883603953</v>
      </c>
      <c r="AK15" s="8">
        <f t="shared" si="17"/>
        <v>2.0361285582720838E-3</v>
      </c>
      <c r="AL15" s="8">
        <f t="shared" si="18"/>
        <v>6367558.4882606138</v>
      </c>
      <c r="AM15" s="8">
        <f t="shared" si="19"/>
        <v>16036.473376007938</v>
      </c>
      <c r="AN15" s="8">
        <f t="shared" si="20"/>
        <v>16.826341825445081</v>
      </c>
      <c r="AO15" s="8">
        <f t="shared" si="21"/>
        <v>2.1689203848674052E-2</v>
      </c>
      <c r="AP15" s="8">
        <f t="shared" si="22"/>
        <v>1.5704606433433228E-7</v>
      </c>
      <c r="AQ15" s="8">
        <f t="shared" si="23"/>
        <v>2.5184636976839014E-3</v>
      </c>
      <c r="AR15" s="8">
        <f t="shared" si="24"/>
        <v>3.70015534400603E-6</v>
      </c>
      <c r="AS15" s="8">
        <f t="shared" si="25"/>
        <v>7.4016654475384287E-9</v>
      </c>
      <c r="AT15" s="8">
        <f t="shared" si="26"/>
        <v>6378245.0884971283</v>
      </c>
      <c r="AU15" s="8">
        <f t="shared" si="27"/>
        <v>8.2088351658514316E-2</v>
      </c>
      <c r="AV15" s="8">
        <f t="shared" si="28"/>
        <v>2.0361313720839145E-3</v>
      </c>
      <c r="AW15" s="8">
        <f t="shared" si="29"/>
        <v>1.0067384974780118</v>
      </c>
      <c r="AX15" s="58">
        <f t="shared" si="30"/>
        <v>2.0345549675285794E-3</v>
      </c>
      <c r="AY15" s="59">
        <f t="shared" si="31"/>
        <v>0</v>
      </c>
      <c r="AZ15" s="60">
        <f t="shared" si="32"/>
        <v>6</v>
      </c>
      <c r="BA15" s="61">
        <f t="shared" si="33"/>
        <v>59.657086176349864</v>
      </c>
      <c r="BB15" s="56">
        <f t="shared" si="34"/>
        <v>0.11657141282676385</v>
      </c>
      <c r="BC15" s="56">
        <f t="shared" si="35"/>
        <v>-3.9185715631620689E-2</v>
      </c>
      <c r="BD15" s="56">
        <f t="shared" si="36"/>
        <v>0.63276604638619627</v>
      </c>
      <c r="BE15" s="56">
        <f t="shared" si="37"/>
        <v>36.254823877108315</v>
      </c>
      <c r="BF15" s="62">
        <f t="shared" si="38"/>
        <v>36</v>
      </c>
      <c r="BG15" s="60">
        <f t="shared" si="39"/>
        <v>15</v>
      </c>
      <c r="BH15" s="63">
        <f t="shared" si="40"/>
        <v>17.365957589933601</v>
      </c>
      <c r="BI15" s="64">
        <f t="shared" si="41"/>
        <v>5143373.1390186641</v>
      </c>
      <c r="BJ15" s="65">
        <f t="shared" si="42"/>
        <v>3771943.1014487948</v>
      </c>
      <c r="BK15" s="66">
        <f t="shared" si="43"/>
        <v>12890.021538123134</v>
      </c>
      <c r="BL15" s="55">
        <f t="shared" si="2"/>
        <v>23.92</v>
      </c>
      <c r="BM15" s="6">
        <f t="shared" si="2"/>
        <v>-141.27000000000001</v>
      </c>
      <c r="BN15" s="6">
        <f t="shared" si="2"/>
        <v>-80.900000000000006</v>
      </c>
      <c r="BO15" s="6">
        <f t="shared" si="2"/>
        <v>0</v>
      </c>
      <c r="BP15" s="6">
        <f t="shared" si="2"/>
        <v>-0.35</v>
      </c>
      <c r="BQ15" s="6">
        <f t="shared" si="2"/>
        <v>-0.82</v>
      </c>
      <c r="BR15" s="6">
        <f t="shared" si="3"/>
        <v>0</v>
      </c>
      <c r="BS15" s="6">
        <f t="shared" si="3"/>
        <v>-1.6968478838833759E-6</v>
      </c>
      <c r="BT15" s="6">
        <f t="shared" si="3"/>
        <v>-3.9754721850981945E-6</v>
      </c>
      <c r="BU15" s="67">
        <f t="shared" si="44"/>
        <v>-0.22</v>
      </c>
      <c r="BV15" s="59">
        <f t="shared" si="45"/>
        <v>5143380.9540973902</v>
      </c>
      <c r="BW15" s="60">
        <f t="shared" si="46"/>
        <v>3771821.4489536658</v>
      </c>
      <c r="BX15" s="68">
        <f t="shared" si="47"/>
        <v>12800.391182411484</v>
      </c>
      <c r="BY15" s="55">
        <f t="shared" si="4"/>
        <v>23.92</v>
      </c>
      <c r="BZ15" s="6">
        <f t="shared" si="4"/>
        <v>-141.27000000000001</v>
      </c>
      <c r="CA15" s="6">
        <f t="shared" si="4"/>
        <v>-80.900000000000006</v>
      </c>
      <c r="CB15" s="6">
        <f t="shared" si="4"/>
        <v>0</v>
      </c>
      <c r="CC15" s="6">
        <f t="shared" si="4"/>
        <v>-0.35</v>
      </c>
      <c r="CD15" s="6">
        <f t="shared" si="4"/>
        <v>-0.82</v>
      </c>
      <c r="CE15" s="6">
        <f t="shared" si="5"/>
        <v>0</v>
      </c>
      <c r="CF15" s="6">
        <f t="shared" si="5"/>
        <v>-1.6968478838833759E-6</v>
      </c>
      <c r="CG15" s="6">
        <f t="shared" si="5"/>
        <v>-3.9754721850981945E-6</v>
      </c>
      <c r="CH15" s="67">
        <f t="shared" si="48"/>
        <v>-0.22</v>
      </c>
      <c r="CI15" s="64">
        <f t="shared" si="49"/>
        <v>5143373.1386954347</v>
      </c>
      <c r="CJ15" s="65">
        <f t="shared" si="50"/>
        <v>3771943.1013819654</v>
      </c>
      <c r="CK15" s="66">
        <f t="shared" si="51"/>
        <v>12890.021535505568</v>
      </c>
      <c r="CL15" s="69">
        <f t="shared" si="52"/>
        <v>6378231.8869665386</v>
      </c>
      <c r="CM15" s="6">
        <f t="shared" si="53"/>
        <v>6378245</v>
      </c>
      <c r="CN15" s="6">
        <f t="shared" si="53"/>
        <v>3.352329869259135E-3</v>
      </c>
      <c r="CO15" s="9">
        <f t="shared" si="54"/>
        <v>6.6934216229659433E-3</v>
      </c>
      <c r="CP15" s="9">
        <f t="shared" si="55"/>
        <v>6378244.911930861</v>
      </c>
      <c r="CQ15" s="9">
        <f t="shared" si="56"/>
        <v>2.0209368702047577E-3</v>
      </c>
      <c r="CR15" s="9">
        <f t="shared" si="57"/>
        <v>3.3467108576934797E-3</v>
      </c>
      <c r="CS15" s="9">
        <f t="shared" ca="1" si="58"/>
        <v>1.3618097007062995E-5</v>
      </c>
      <c r="CT15" s="9">
        <f t="shared" ca="1" si="59"/>
        <v>2.0345549672118207E-3</v>
      </c>
      <c r="CU15" s="46">
        <f t="shared" ca="1" si="6"/>
        <v>1.3618097007062995E-5</v>
      </c>
      <c r="CV15" s="70">
        <f t="shared" ca="1" si="60"/>
        <v>0</v>
      </c>
      <c r="CW15" s="71">
        <f t="shared" ca="1" si="61"/>
        <v>2.0345549672118207E-3</v>
      </c>
      <c r="CX15" s="59">
        <f t="shared" ca="1" si="62"/>
        <v>0</v>
      </c>
      <c r="CY15" s="60">
        <f t="shared" ca="1" si="63"/>
        <v>6</v>
      </c>
      <c r="CZ15" s="61">
        <f t="shared" ca="1" si="64"/>
        <v>59.6571</v>
      </c>
      <c r="DA15" s="6">
        <f t="shared" ca="1" si="65"/>
        <v>0.11657141280861491</v>
      </c>
      <c r="DB15" s="6">
        <f t="shared" si="66"/>
        <v>0.63276604640771628</v>
      </c>
      <c r="DC15" s="6">
        <f t="shared" si="67"/>
        <v>0</v>
      </c>
      <c r="DD15" s="6">
        <f t="shared" si="68"/>
        <v>0.63276604640771628</v>
      </c>
      <c r="DE15" s="60">
        <f t="shared" si="69"/>
        <v>36</v>
      </c>
      <c r="DF15" s="60">
        <f t="shared" si="70"/>
        <v>15</v>
      </c>
      <c r="DG15" s="61">
        <f t="shared" si="71"/>
        <v>17.366</v>
      </c>
      <c r="DH15" s="6">
        <f t="shared" si="72"/>
        <v>36.254823878341327</v>
      </c>
      <c r="DI15" s="66">
        <f t="shared" ca="1" si="73"/>
        <v>-3.001755103468895E-4</v>
      </c>
      <c r="DJ15" s="55">
        <f t="shared" si="74"/>
        <v>39</v>
      </c>
      <c r="DK15" s="6">
        <f t="shared" si="75"/>
        <v>-4.7912361870072265E-2</v>
      </c>
      <c r="DL15" s="6">
        <f t="shared" si="76"/>
        <v>6356863.0187730473</v>
      </c>
      <c r="DM15" s="6">
        <f t="shared" si="77"/>
        <v>6.7385254146834087E-3</v>
      </c>
      <c r="DN15" s="72">
        <f t="shared" ca="1" si="78"/>
        <v>6.7384975211760307E-3</v>
      </c>
      <c r="DO15" s="73">
        <f t="shared" ca="1" si="79"/>
        <v>6378245.0883603953</v>
      </c>
      <c r="DP15" s="6">
        <f t="shared" si="80"/>
        <v>1.0050517725429551</v>
      </c>
      <c r="DQ15" s="6">
        <f t="shared" si="81"/>
        <v>-2.5311877419908228E-3</v>
      </c>
      <c r="DR15" s="6">
        <f t="shared" si="82"/>
        <v>2.6558601241364054E-6</v>
      </c>
      <c r="DS15" s="6">
        <f t="shared" si="83"/>
        <v>-3.4165783147131439E-9</v>
      </c>
      <c r="DT15" s="6">
        <f t="shared" si="7"/>
        <v>7</v>
      </c>
      <c r="DU15" s="6">
        <f t="shared" si="7"/>
        <v>0</v>
      </c>
      <c r="DV15" s="6">
        <f t="shared" si="7"/>
        <v>500000</v>
      </c>
      <c r="DW15" s="6">
        <f t="shared" si="7"/>
        <v>1</v>
      </c>
      <c r="DX15" s="74">
        <f t="shared" ca="1" si="84"/>
        <v>12890.030428976437</v>
      </c>
      <c r="DY15" s="58">
        <f t="shared" ca="1" si="85"/>
        <v>-305713.93034284032</v>
      </c>
      <c r="DZ15" s="64">
        <f t="shared" ca="1" si="86"/>
        <v>12904.939659140397</v>
      </c>
      <c r="EA15" s="66">
        <f t="shared" ca="1" si="87"/>
        <v>7194286.06965716</v>
      </c>
      <c r="ED15" s="77"/>
      <c r="EE15" s="77"/>
    </row>
    <row r="16" spans="1:135" x14ac:dyDescent="0.25">
      <c r="A16" s="4">
        <v>9</v>
      </c>
      <c r="B16" s="4" t="s">
        <v>104</v>
      </c>
      <c r="C16" s="20">
        <v>6378136</v>
      </c>
      <c r="D16" s="21">
        <f>1/298.25784</f>
        <v>3.3528037351842955E-3</v>
      </c>
      <c r="E16" s="20">
        <v>-1.1000000000000001</v>
      </c>
      <c r="F16" s="20">
        <v>-0.3</v>
      </c>
      <c r="G16" s="20">
        <v>-0.9</v>
      </c>
      <c r="H16" s="22">
        <v>0</v>
      </c>
      <c r="I16" s="22">
        <v>0</v>
      </c>
      <c r="J16" s="22">
        <v>-0.2</v>
      </c>
      <c r="K16" s="23">
        <v>-0.12</v>
      </c>
      <c r="L16" s="22">
        <v>39</v>
      </c>
      <c r="M16" s="4">
        <v>0</v>
      </c>
      <c r="N16" s="24">
        <v>1</v>
      </c>
      <c r="O16" s="4">
        <v>7</v>
      </c>
      <c r="P16" s="4">
        <v>500000</v>
      </c>
      <c r="Q16" s="20">
        <v>0</v>
      </c>
      <c r="R16" s="4" t="s">
        <v>103</v>
      </c>
      <c r="T16" s="53">
        <v>9</v>
      </c>
      <c r="U16" s="26"/>
      <c r="V16" s="26"/>
      <c r="W16" s="54"/>
      <c r="X16" s="55">
        <f t="shared" si="1"/>
        <v>1</v>
      </c>
      <c r="Y16" s="6">
        <f t="shared" si="1"/>
        <v>-12900</v>
      </c>
      <c r="Z16" s="6">
        <f t="shared" si="1"/>
        <v>250000</v>
      </c>
      <c r="AA16" s="6">
        <f t="shared" si="10"/>
        <v>0</v>
      </c>
      <c r="AB16" s="30">
        <f t="shared" si="8"/>
        <v>12900</v>
      </c>
      <c r="AC16" s="30">
        <f t="shared" si="9"/>
        <v>-250000</v>
      </c>
      <c r="AD16" s="6">
        <f t="shared" si="11"/>
        <v>38.5</v>
      </c>
      <c r="AE16" s="6">
        <f t="shared" si="11"/>
        <v>6378245</v>
      </c>
      <c r="AF16" s="6">
        <f t="shared" si="12"/>
        <v>6356863.0187730473</v>
      </c>
      <c r="AG16" s="6">
        <f t="shared" si="13"/>
        <v>3.352329869259135E-3</v>
      </c>
      <c r="AH16" s="8">
        <f t="shared" si="14"/>
        <v>6.6934216229658618E-3</v>
      </c>
      <c r="AI16" s="56">
        <f t="shared" si="15"/>
        <v>6.7385254146834087E-3</v>
      </c>
      <c r="AJ16" s="57">
        <f t="shared" si="16"/>
        <v>6378245.0883603953</v>
      </c>
      <c r="AK16" s="8">
        <f t="shared" si="17"/>
        <v>2.0361285582720838E-3</v>
      </c>
      <c r="AL16" s="8">
        <f t="shared" si="18"/>
        <v>6367558.4882606138</v>
      </c>
      <c r="AM16" s="8">
        <f t="shared" si="19"/>
        <v>16036.473376007938</v>
      </c>
      <c r="AN16" s="8">
        <f t="shared" si="20"/>
        <v>16.826341825445081</v>
      </c>
      <c r="AO16" s="8">
        <f t="shared" si="21"/>
        <v>2.1689203848674052E-2</v>
      </c>
      <c r="AP16" s="8">
        <f t="shared" si="22"/>
        <v>1.5704606433433228E-7</v>
      </c>
      <c r="AQ16" s="8">
        <f t="shared" si="23"/>
        <v>2.5184636976839014E-3</v>
      </c>
      <c r="AR16" s="8">
        <f t="shared" si="24"/>
        <v>3.70015534400603E-6</v>
      </c>
      <c r="AS16" s="8">
        <f t="shared" si="25"/>
        <v>7.4016654475384287E-9</v>
      </c>
      <c r="AT16" s="8">
        <f t="shared" si="26"/>
        <v>6378245.0884971283</v>
      </c>
      <c r="AU16" s="8">
        <f t="shared" si="27"/>
        <v>8.2088351658514316E-2</v>
      </c>
      <c r="AV16" s="8">
        <f t="shared" si="28"/>
        <v>2.0361313720839145E-3</v>
      </c>
      <c r="AW16" s="8">
        <f t="shared" si="29"/>
        <v>1.0067384974780118</v>
      </c>
      <c r="AX16" s="58">
        <f t="shared" si="30"/>
        <v>2.0345549675285794E-3</v>
      </c>
      <c r="AY16" s="59">
        <f t="shared" si="31"/>
        <v>0</v>
      </c>
      <c r="AZ16" s="60">
        <f t="shared" si="32"/>
        <v>6</v>
      </c>
      <c r="BA16" s="61">
        <f t="shared" si="33"/>
        <v>59.657086176349864</v>
      </c>
      <c r="BB16" s="56">
        <f t="shared" si="34"/>
        <v>0.11657141282676385</v>
      </c>
      <c r="BC16" s="56">
        <f t="shared" si="35"/>
        <v>-3.9185715631620689E-2</v>
      </c>
      <c r="BD16" s="56">
        <f t="shared" si="36"/>
        <v>0.63276604638619627</v>
      </c>
      <c r="BE16" s="56">
        <f t="shared" si="37"/>
        <v>36.254823877108315</v>
      </c>
      <c r="BF16" s="62">
        <f t="shared" si="38"/>
        <v>36</v>
      </c>
      <c r="BG16" s="60">
        <f t="shared" si="39"/>
        <v>15</v>
      </c>
      <c r="BH16" s="63">
        <f t="shared" si="40"/>
        <v>17.365957589933601</v>
      </c>
      <c r="BI16" s="64">
        <f t="shared" si="41"/>
        <v>5143373.1390186641</v>
      </c>
      <c r="BJ16" s="65">
        <f t="shared" si="42"/>
        <v>3771943.1014487948</v>
      </c>
      <c r="BK16" s="66">
        <f t="shared" si="43"/>
        <v>12890.021538123134</v>
      </c>
      <c r="BL16" s="55">
        <f t="shared" si="2"/>
        <v>23.92</v>
      </c>
      <c r="BM16" s="6">
        <f t="shared" si="2"/>
        <v>-141.27000000000001</v>
      </c>
      <c r="BN16" s="6">
        <f t="shared" si="2"/>
        <v>-80.900000000000006</v>
      </c>
      <c r="BO16" s="6">
        <f t="shared" si="2"/>
        <v>0</v>
      </c>
      <c r="BP16" s="6">
        <f t="shared" si="2"/>
        <v>-0.35</v>
      </c>
      <c r="BQ16" s="6">
        <f t="shared" si="2"/>
        <v>-0.82</v>
      </c>
      <c r="BR16" s="6">
        <f t="shared" si="3"/>
        <v>0</v>
      </c>
      <c r="BS16" s="6">
        <f t="shared" si="3"/>
        <v>-1.6968478838833759E-6</v>
      </c>
      <c r="BT16" s="6">
        <f t="shared" si="3"/>
        <v>-3.9754721850981945E-6</v>
      </c>
      <c r="BU16" s="67">
        <f t="shared" si="44"/>
        <v>-0.22</v>
      </c>
      <c r="BV16" s="59">
        <f t="shared" si="45"/>
        <v>5143380.9540973902</v>
      </c>
      <c r="BW16" s="60">
        <f t="shared" si="46"/>
        <v>3771821.4489536658</v>
      </c>
      <c r="BX16" s="68">
        <f t="shared" si="47"/>
        <v>12800.391182411484</v>
      </c>
      <c r="BY16" s="55">
        <f t="shared" si="4"/>
        <v>23.92</v>
      </c>
      <c r="BZ16" s="6">
        <f t="shared" si="4"/>
        <v>-141.27000000000001</v>
      </c>
      <c r="CA16" s="6">
        <f t="shared" si="4"/>
        <v>-80.900000000000006</v>
      </c>
      <c r="CB16" s="6">
        <f t="shared" si="4"/>
        <v>0</v>
      </c>
      <c r="CC16" s="6">
        <f t="shared" si="4"/>
        <v>-0.35</v>
      </c>
      <c r="CD16" s="6">
        <f t="shared" si="4"/>
        <v>-0.82</v>
      </c>
      <c r="CE16" s="6">
        <f t="shared" si="5"/>
        <v>0</v>
      </c>
      <c r="CF16" s="6">
        <f t="shared" si="5"/>
        <v>-1.6968478838833759E-6</v>
      </c>
      <c r="CG16" s="6">
        <f t="shared" si="5"/>
        <v>-3.9754721850981945E-6</v>
      </c>
      <c r="CH16" s="67">
        <f t="shared" si="48"/>
        <v>-0.22</v>
      </c>
      <c r="CI16" s="64">
        <f t="shared" si="49"/>
        <v>5143373.1386954347</v>
      </c>
      <c r="CJ16" s="65">
        <f t="shared" si="50"/>
        <v>3771943.1013819654</v>
      </c>
      <c r="CK16" s="66">
        <f t="shared" si="51"/>
        <v>12890.021535505568</v>
      </c>
      <c r="CL16" s="69">
        <f t="shared" si="52"/>
        <v>6378231.8869665386</v>
      </c>
      <c r="CM16" s="6">
        <f t="shared" si="53"/>
        <v>6378245</v>
      </c>
      <c r="CN16" s="6">
        <f t="shared" si="53"/>
        <v>3.352329869259135E-3</v>
      </c>
      <c r="CO16" s="9">
        <f t="shared" si="54"/>
        <v>6.6934216229659433E-3</v>
      </c>
      <c r="CP16" s="9">
        <f t="shared" si="55"/>
        <v>6378244.911930861</v>
      </c>
      <c r="CQ16" s="9">
        <f t="shared" si="56"/>
        <v>2.0209368702047577E-3</v>
      </c>
      <c r="CR16" s="9">
        <f t="shared" si="57"/>
        <v>3.3467108576934797E-3</v>
      </c>
      <c r="CS16" s="9">
        <f t="shared" ca="1" si="58"/>
        <v>1.3618097007062995E-5</v>
      </c>
      <c r="CT16" s="9">
        <f t="shared" ca="1" si="59"/>
        <v>2.0345549672118207E-3</v>
      </c>
      <c r="CU16" s="46">
        <f t="shared" ca="1" si="6"/>
        <v>1.3618097007062995E-5</v>
      </c>
      <c r="CV16" s="70">
        <f t="shared" ca="1" si="60"/>
        <v>0</v>
      </c>
      <c r="CW16" s="71">
        <f t="shared" ca="1" si="61"/>
        <v>2.0345549672118207E-3</v>
      </c>
      <c r="CX16" s="59">
        <f t="shared" ca="1" si="62"/>
        <v>0</v>
      </c>
      <c r="CY16" s="60">
        <f t="shared" ca="1" si="63"/>
        <v>6</v>
      </c>
      <c r="CZ16" s="61">
        <f t="shared" ca="1" si="64"/>
        <v>59.6571</v>
      </c>
      <c r="DA16" s="6">
        <f t="shared" ca="1" si="65"/>
        <v>0.11657141280861491</v>
      </c>
      <c r="DB16" s="6">
        <f t="shared" si="66"/>
        <v>0.63276604640771628</v>
      </c>
      <c r="DC16" s="6">
        <f t="shared" si="67"/>
        <v>0</v>
      </c>
      <c r="DD16" s="6">
        <f t="shared" si="68"/>
        <v>0.63276604640771628</v>
      </c>
      <c r="DE16" s="60">
        <f t="shared" si="69"/>
        <v>36</v>
      </c>
      <c r="DF16" s="60">
        <f t="shared" si="70"/>
        <v>15</v>
      </c>
      <c r="DG16" s="61">
        <f t="shared" si="71"/>
        <v>17.366</v>
      </c>
      <c r="DH16" s="6">
        <f t="shared" si="72"/>
        <v>36.254823878341327</v>
      </c>
      <c r="DI16" s="66">
        <f t="shared" ca="1" si="73"/>
        <v>-3.001755103468895E-4</v>
      </c>
      <c r="DJ16" s="55">
        <f t="shared" si="74"/>
        <v>39</v>
      </c>
      <c r="DK16" s="6">
        <f t="shared" si="75"/>
        <v>-4.7912361870072265E-2</v>
      </c>
      <c r="DL16" s="6">
        <f t="shared" si="76"/>
        <v>6356863.0187730473</v>
      </c>
      <c r="DM16" s="6">
        <f t="shared" si="77"/>
        <v>6.7385254146834087E-3</v>
      </c>
      <c r="DN16" s="72">
        <f t="shared" ca="1" si="78"/>
        <v>6.7384975211760307E-3</v>
      </c>
      <c r="DO16" s="73">
        <f t="shared" ca="1" si="79"/>
        <v>6378245.0883603953</v>
      </c>
      <c r="DP16" s="6">
        <f t="shared" si="80"/>
        <v>1.0050517725429551</v>
      </c>
      <c r="DQ16" s="6">
        <f t="shared" si="81"/>
        <v>-2.5311877419908228E-3</v>
      </c>
      <c r="DR16" s="6">
        <f t="shared" si="82"/>
        <v>2.6558601241364054E-6</v>
      </c>
      <c r="DS16" s="6">
        <f t="shared" si="83"/>
        <v>-3.4165783147131439E-9</v>
      </c>
      <c r="DT16" s="6">
        <f t="shared" si="7"/>
        <v>7</v>
      </c>
      <c r="DU16" s="6">
        <f t="shared" si="7"/>
        <v>0</v>
      </c>
      <c r="DV16" s="6">
        <f t="shared" si="7"/>
        <v>500000</v>
      </c>
      <c r="DW16" s="6">
        <f t="shared" si="7"/>
        <v>1</v>
      </c>
      <c r="DX16" s="74">
        <f t="shared" ca="1" si="84"/>
        <v>12890.030428976437</v>
      </c>
      <c r="DY16" s="58">
        <f t="shared" ca="1" si="85"/>
        <v>-305713.93034284032</v>
      </c>
      <c r="DZ16" s="64">
        <f t="shared" ca="1" si="86"/>
        <v>12904.939659140397</v>
      </c>
      <c r="EA16" s="66">
        <f t="shared" ca="1" si="87"/>
        <v>7194286.06965716</v>
      </c>
      <c r="ED16" s="77"/>
      <c r="EE16" s="77"/>
    </row>
    <row r="17" spans="1:135" x14ac:dyDescent="0.25">
      <c r="A17" s="4">
        <v>10</v>
      </c>
      <c r="B17" s="4"/>
      <c r="C17" s="20"/>
      <c r="D17" s="21"/>
      <c r="E17" s="20"/>
      <c r="F17" s="20"/>
      <c r="G17" s="20"/>
      <c r="H17" s="22"/>
      <c r="I17" s="22"/>
      <c r="J17" s="22"/>
      <c r="K17" s="23"/>
      <c r="L17" s="22"/>
      <c r="M17" s="4"/>
      <c r="N17" s="24"/>
      <c r="O17" s="4"/>
      <c r="P17" s="4"/>
      <c r="Q17" s="20"/>
      <c r="R17" s="4"/>
      <c r="T17" s="53">
        <v>10</v>
      </c>
      <c r="U17" s="26"/>
      <c r="V17" s="26"/>
      <c r="W17" s="54"/>
      <c r="X17" s="55">
        <f t="shared" si="1"/>
        <v>1</v>
      </c>
      <c r="Y17" s="6">
        <f t="shared" si="1"/>
        <v>-12900</v>
      </c>
      <c r="Z17" s="6">
        <f t="shared" si="1"/>
        <v>250000</v>
      </c>
      <c r="AA17" s="6">
        <f t="shared" si="10"/>
        <v>0</v>
      </c>
      <c r="AB17" s="30">
        <f t="shared" si="8"/>
        <v>12900</v>
      </c>
      <c r="AC17" s="30">
        <f t="shared" si="9"/>
        <v>-250000</v>
      </c>
      <c r="AD17" s="6">
        <f t="shared" si="11"/>
        <v>38.5</v>
      </c>
      <c r="AE17" s="6">
        <f t="shared" si="11"/>
        <v>6378245</v>
      </c>
      <c r="AF17" s="6">
        <f t="shared" si="12"/>
        <v>6356863.0187730473</v>
      </c>
      <c r="AG17" s="6">
        <f t="shared" si="13"/>
        <v>3.352329869259135E-3</v>
      </c>
      <c r="AH17" s="8">
        <f t="shared" si="14"/>
        <v>6.6934216229658618E-3</v>
      </c>
      <c r="AI17" s="56">
        <f t="shared" si="15"/>
        <v>6.7385254146834087E-3</v>
      </c>
      <c r="AJ17" s="57">
        <f t="shared" si="16"/>
        <v>6378245.0883603953</v>
      </c>
      <c r="AK17" s="8">
        <f t="shared" si="17"/>
        <v>2.0361285582720838E-3</v>
      </c>
      <c r="AL17" s="8">
        <f t="shared" si="18"/>
        <v>6367558.4882606138</v>
      </c>
      <c r="AM17" s="8">
        <f t="shared" si="19"/>
        <v>16036.473376007938</v>
      </c>
      <c r="AN17" s="8">
        <f t="shared" si="20"/>
        <v>16.826341825445081</v>
      </c>
      <c r="AO17" s="8">
        <f t="shared" si="21"/>
        <v>2.1689203848674052E-2</v>
      </c>
      <c r="AP17" s="8">
        <f t="shared" si="22"/>
        <v>1.5704606433433228E-7</v>
      </c>
      <c r="AQ17" s="8">
        <f t="shared" si="23"/>
        <v>2.5184636976839014E-3</v>
      </c>
      <c r="AR17" s="8">
        <f t="shared" si="24"/>
        <v>3.70015534400603E-6</v>
      </c>
      <c r="AS17" s="8">
        <f t="shared" si="25"/>
        <v>7.4016654475384287E-9</v>
      </c>
      <c r="AT17" s="8">
        <f t="shared" si="26"/>
        <v>6378245.0884971283</v>
      </c>
      <c r="AU17" s="8">
        <f t="shared" si="27"/>
        <v>8.2088351658514316E-2</v>
      </c>
      <c r="AV17" s="8">
        <f t="shared" si="28"/>
        <v>2.0361313720839145E-3</v>
      </c>
      <c r="AW17" s="8">
        <f t="shared" si="29"/>
        <v>1.0067384974780118</v>
      </c>
      <c r="AX17" s="58">
        <f t="shared" si="30"/>
        <v>2.0345549675285794E-3</v>
      </c>
      <c r="AY17" s="59">
        <f t="shared" si="31"/>
        <v>0</v>
      </c>
      <c r="AZ17" s="60">
        <f t="shared" si="32"/>
        <v>6</v>
      </c>
      <c r="BA17" s="61">
        <f t="shared" si="33"/>
        <v>59.657086176349864</v>
      </c>
      <c r="BB17" s="56">
        <f t="shared" si="34"/>
        <v>0.11657141282676385</v>
      </c>
      <c r="BC17" s="56">
        <f t="shared" si="35"/>
        <v>-3.9185715631620689E-2</v>
      </c>
      <c r="BD17" s="56">
        <f t="shared" si="36"/>
        <v>0.63276604638619627</v>
      </c>
      <c r="BE17" s="56">
        <f t="shared" si="37"/>
        <v>36.254823877108315</v>
      </c>
      <c r="BF17" s="62">
        <f t="shared" si="38"/>
        <v>36</v>
      </c>
      <c r="BG17" s="60">
        <f t="shared" si="39"/>
        <v>15</v>
      </c>
      <c r="BH17" s="63">
        <f t="shared" si="40"/>
        <v>17.365957589933601</v>
      </c>
      <c r="BI17" s="64">
        <f t="shared" si="41"/>
        <v>5143373.1390186641</v>
      </c>
      <c r="BJ17" s="65">
        <f t="shared" si="42"/>
        <v>3771943.1014487948</v>
      </c>
      <c r="BK17" s="66">
        <f t="shared" si="43"/>
        <v>12890.021538123134</v>
      </c>
      <c r="BL17" s="55">
        <f t="shared" si="2"/>
        <v>23.92</v>
      </c>
      <c r="BM17" s="6">
        <f t="shared" si="2"/>
        <v>-141.27000000000001</v>
      </c>
      <c r="BN17" s="6">
        <f t="shared" si="2"/>
        <v>-80.900000000000006</v>
      </c>
      <c r="BO17" s="6">
        <f t="shared" si="2"/>
        <v>0</v>
      </c>
      <c r="BP17" s="6">
        <f t="shared" si="2"/>
        <v>-0.35</v>
      </c>
      <c r="BQ17" s="6">
        <f t="shared" si="2"/>
        <v>-0.82</v>
      </c>
      <c r="BR17" s="6">
        <f t="shared" si="3"/>
        <v>0</v>
      </c>
      <c r="BS17" s="6">
        <f t="shared" si="3"/>
        <v>-1.6968478838833759E-6</v>
      </c>
      <c r="BT17" s="6">
        <f t="shared" si="3"/>
        <v>-3.9754721850981945E-6</v>
      </c>
      <c r="BU17" s="67">
        <f t="shared" si="44"/>
        <v>-0.22</v>
      </c>
      <c r="BV17" s="59">
        <f t="shared" si="45"/>
        <v>5143380.9540973902</v>
      </c>
      <c r="BW17" s="60">
        <f t="shared" si="46"/>
        <v>3771821.4489536658</v>
      </c>
      <c r="BX17" s="68">
        <f t="shared" si="47"/>
        <v>12800.391182411484</v>
      </c>
      <c r="BY17" s="55">
        <f t="shared" si="4"/>
        <v>23.92</v>
      </c>
      <c r="BZ17" s="6">
        <f t="shared" si="4"/>
        <v>-141.27000000000001</v>
      </c>
      <c r="CA17" s="6">
        <f t="shared" si="4"/>
        <v>-80.900000000000006</v>
      </c>
      <c r="CB17" s="6">
        <f t="shared" si="4"/>
        <v>0</v>
      </c>
      <c r="CC17" s="6">
        <f t="shared" si="4"/>
        <v>-0.35</v>
      </c>
      <c r="CD17" s="6">
        <f t="shared" si="4"/>
        <v>-0.82</v>
      </c>
      <c r="CE17" s="6">
        <f t="shared" si="5"/>
        <v>0</v>
      </c>
      <c r="CF17" s="6">
        <f t="shared" si="5"/>
        <v>-1.6968478838833759E-6</v>
      </c>
      <c r="CG17" s="6">
        <f t="shared" si="5"/>
        <v>-3.9754721850981945E-6</v>
      </c>
      <c r="CH17" s="67">
        <f t="shared" si="48"/>
        <v>-0.22</v>
      </c>
      <c r="CI17" s="64">
        <f t="shared" si="49"/>
        <v>5143373.1386954347</v>
      </c>
      <c r="CJ17" s="65">
        <f t="shared" si="50"/>
        <v>3771943.1013819654</v>
      </c>
      <c r="CK17" s="66">
        <f t="shared" si="51"/>
        <v>12890.021535505568</v>
      </c>
      <c r="CL17" s="69">
        <f t="shared" si="52"/>
        <v>6378231.8869665386</v>
      </c>
      <c r="CM17" s="6">
        <f t="shared" si="53"/>
        <v>6378245</v>
      </c>
      <c r="CN17" s="6">
        <f t="shared" si="53"/>
        <v>3.352329869259135E-3</v>
      </c>
      <c r="CO17" s="9">
        <f t="shared" si="54"/>
        <v>6.6934216229659433E-3</v>
      </c>
      <c r="CP17" s="9">
        <f t="shared" si="55"/>
        <v>6378244.911930861</v>
      </c>
      <c r="CQ17" s="9">
        <f t="shared" si="56"/>
        <v>2.0209368702047577E-3</v>
      </c>
      <c r="CR17" s="9">
        <f t="shared" si="57"/>
        <v>3.3467108576934797E-3</v>
      </c>
      <c r="CS17" s="9">
        <f t="shared" ca="1" si="58"/>
        <v>1.3618097007062995E-5</v>
      </c>
      <c r="CT17" s="9">
        <f t="shared" ca="1" si="59"/>
        <v>2.0345549672118207E-3</v>
      </c>
      <c r="CU17" s="46">
        <f t="shared" ca="1" si="6"/>
        <v>1.3618097007062995E-5</v>
      </c>
      <c r="CV17" s="70">
        <f t="shared" ca="1" si="60"/>
        <v>0</v>
      </c>
      <c r="CW17" s="71">
        <f t="shared" ca="1" si="61"/>
        <v>2.0345549672118207E-3</v>
      </c>
      <c r="CX17" s="59">
        <f t="shared" ca="1" si="62"/>
        <v>0</v>
      </c>
      <c r="CY17" s="60">
        <f t="shared" ca="1" si="63"/>
        <v>6</v>
      </c>
      <c r="CZ17" s="61">
        <f t="shared" ca="1" si="64"/>
        <v>59.6571</v>
      </c>
      <c r="DA17" s="9">
        <f t="shared" ca="1" si="65"/>
        <v>0.11657141280861491</v>
      </c>
      <c r="DB17" s="9">
        <f t="shared" si="66"/>
        <v>0.63276604640771628</v>
      </c>
      <c r="DC17" s="9">
        <f t="shared" si="67"/>
        <v>0</v>
      </c>
      <c r="DD17" s="9">
        <f t="shared" si="68"/>
        <v>0.63276604640771628</v>
      </c>
      <c r="DE17" s="60">
        <f t="shared" si="69"/>
        <v>36</v>
      </c>
      <c r="DF17" s="60">
        <f t="shared" si="70"/>
        <v>15</v>
      </c>
      <c r="DG17" s="61">
        <f t="shared" si="71"/>
        <v>17.366</v>
      </c>
      <c r="DH17" s="9">
        <f t="shared" si="72"/>
        <v>36.254823878341327</v>
      </c>
      <c r="DI17" s="66">
        <f t="shared" ca="1" si="73"/>
        <v>-3.001755103468895E-4</v>
      </c>
      <c r="DJ17" s="55">
        <f t="shared" si="74"/>
        <v>39</v>
      </c>
      <c r="DK17" s="6">
        <f t="shared" si="75"/>
        <v>-4.7912361870072265E-2</v>
      </c>
      <c r="DL17" s="6">
        <f t="shared" si="76"/>
        <v>6356863.0187730473</v>
      </c>
      <c r="DM17" s="6">
        <f t="shared" si="77"/>
        <v>6.7385254146834087E-3</v>
      </c>
      <c r="DN17" s="72">
        <f t="shared" ca="1" si="78"/>
        <v>6.7384975211760307E-3</v>
      </c>
      <c r="DO17" s="73">
        <f t="shared" ca="1" si="79"/>
        <v>6378245.0883603953</v>
      </c>
      <c r="DP17" s="6">
        <f t="shared" si="80"/>
        <v>1.0050517725429551</v>
      </c>
      <c r="DQ17" s="6">
        <f t="shared" si="81"/>
        <v>-2.5311877419908228E-3</v>
      </c>
      <c r="DR17" s="6">
        <f t="shared" si="82"/>
        <v>2.6558601241364054E-6</v>
      </c>
      <c r="DS17" s="6">
        <f t="shared" si="83"/>
        <v>-3.4165783147131439E-9</v>
      </c>
      <c r="DT17" s="6">
        <f t="shared" si="7"/>
        <v>7</v>
      </c>
      <c r="DU17" s="6">
        <f t="shared" si="7"/>
        <v>0</v>
      </c>
      <c r="DV17" s="6">
        <f t="shared" si="7"/>
        <v>500000</v>
      </c>
      <c r="DW17" s="6">
        <f t="shared" si="7"/>
        <v>1</v>
      </c>
      <c r="DX17" s="74">
        <f t="shared" ca="1" si="84"/>
        <v>12890.030428976437</v>
      </c>
      <c r="DY17" s="58">
        <f t="shared" ca="1" si="85"/>
        <v>-305713.93034284032</v>
      </c>
      <c r="DZ17" s="64">
        <f t="shared" ca="1" si="86"/>
        <v>12904.939659140397</v>
      </c>
      <c r="EA17" s="66">
        <f t="shared" ca="1" si="87"/>
        <v>7194286.06965716</v>
      </c>
      <c r="ED17" s="77"/>
      <c r="EE17" s="77"/>
    </row>
    <row r="18" spans="1:135" x14ac:dyDescent="0.25">
      <c r="A18" s="4">
        <v>11</v>
      </c>
      <c r="B18" s="4"/>
      <c r="C18" s="20"/>
      <c r="D18" s="21"/>
      <c r="E18" s="20"/>
      <c r="F18" s="20"/>
      <c r="G18" s="20"/>
      <c r="H18" s="22"/>
      <c r="I18" s="22"/>
      <c r="J18" s="22"/>
      <c r="K18" s="23"/>
      <c r="L18" s="22"/>
      <c r="M18" s="4"/>
      <c r="N18" s="24"/>
      <c r="O18" s="4"/>
      <c r="P18" s="4"/>
      <c r="Q18" s="20"/>
      <c r="R18" s="4"/>
      <c r="T18" s="53">
        <v>11</v>
      </c>
      <c r="U18" s="26"/>
      <c r="V18" s="26"/>
      <c r="W18" s="54"/>
      <c r="X18" s="55">
        <f t="shared" si="1"/>
        <v>1</v>
      </c>
      <c r="Y18" s="6">
        <f t="shared" si="1"/>
        <v>-12900</v>
      </c>
      <c r="Z18" s="6">
        <f t="shared" si="1"/>
        <v>250000</v>
      </c>
      <c r="AA18" s="6">
        <f t="shared" si="10"/>
        <v>0</v>
      </c>
      <c r="AB18" s="30">
        <f t="shared" si="8"/>
        <v>12900</v>
      </c>
      <c r="AC18" s="30">
        <f t="shared" si="9"/>
        <v>-250000</v>
      </c>
      <c r="AD18" s="6">
        <f t="shared" si="11"/>
        <v>38.5</v>
      </c>
      <c r="AE18" s="6">
        <f t="shared" si="11"/>
        <v>6378245</v>
      </c>
      <c r="AF18" s="6">
        <f t="shared" si="12"/>
        <v>6356863.0187730473</v>
      </c>
      <c r="AG18" s="6">
        <f t="shared" si="13"/>
        <v>3.352329869259135E-3</v>
      </c>
      <c r="AH18" s="8">
        <f t="shared" si="14"/>
        <v>6.6934216229658618E-3</v>
      </c>
      <c r="AI18" s="56">
        <f t="shared" si="15"/>
        <v>6.7385254146834087E-3</v>
      </c>
      <c r="AJ18" s="57">
        <f t="shared" si="16"/>
        <v>6378245.0883603953</v>
      </c>
      <c r="AK18" s="8">
        <f t="shared" si="17"/>
        <v>2.0361285582720838E-3</v>
      </c>
      <c r="AL18" s="8">
        <f t="shared" si="18"/>
        <v>6367558.4882606138</v>
      </c>
      <c r="AM18" s="8">
        <f t="shared" si="19"/>
        <v>16036.473376007938</v>
      </c>
      <c r="AN18" s="8">
        <f t="shared" si="20"/>
        <v>16.826341825445081</v>
      </c>
      <c r="AO18" s="8">
        <f t="shared" si="21"/>
        <v>2.1689203848674052E-2</v>
      </c>
      <c r="AP18" s="8">
        <f t="shared" si="22"/>
        <v>1.5704606433433228E-7</v>
      </c>
      <c r="AQ18" s="8">
        <f t="shared" si="23"/>
        <v>2.5184636976839014E-3</v>
      </c>
      <c r="AR18" s="8">
        <f t="shared" si="24"/>
        <v>3.70015534400603E-6</v>
      </c>
      <c r="AS18" s="8">
        <f t="shared" si="25"/>
        <v>7.4016654475384287E-9</v>
      </c>
      <c r="AT18" s="8">
        <f t="shared" si="26"/>
        <v>6378245.0884971283</v>
      </c>
      <c r="AU18" s="8">
        <f t="shared" si="27"/>
        <v>8.2088351658514316E-2</v>
      </c>
      <c r="AV18" s="8">
        <f t="shared" si="28"/>
        <v>2.0361313720839145E-3</v>
      </c>
      <c r="AW18" s="8">
        <f t="shared" si="29"/>
        <v>1.0067384974780118</v>
      </c>
      <c r="AX18" s="58">
        <f t="shared" si="30"/>
        <v>2.0345549675285794E-3</v>
      </c>
      <c r="AY18" s="59">
        <f t="shared" si="31"/>
        <v>0</v>
      </c>
      <c r="AZ18" s="60">
        <f t="shared" si="32"/>
        <v>6</v>
      </c>
      <c r="BA18" s="61">
        <f t="shared" si="33"/>
        <v>59.657086176349864</v>
      </c>
      <c r="BB18" s="56">
        <f t="shared" si="34"/>
        <v>0.11657141282676385</v>
      </c>
      <c r="BC18" s="56">
        <f t="shared" si="35"/>
        <v>-3.9185715631620689E-2</v>
      </c>
      <c r="BD18" s="56">
        <f t="shared" si="36"/>
        <v>0.63276604638619627</v>
      </c>
      <c r="BE18" s="56">
        <f t="shared" si="37"/>
        <v>36.254823877108315</v>
      </c>
      <c r="BF18" s="62">
        <f t="shared" si="38"/>
        <v>36</v>
      </c>
      <c r="BG18" s="60">
        <f t="shared" si="39"/>
        <v>15</v>
      </c>
      <c r="BH18" s="63">
        <f t="shared" si="40"/>
        <v>17.365957589933601</v>
      </c>
      <c r="BI18" s="64">
        <f t="shared" si="41"/>
        <v>5143373.1390186641</v>
      </c>
      <c r="BJ18" s="65">
        <f t="shared" si="42"/>
        <v>3771943.1014487948</v>
      </c>
      <c r="BK18" s="66">
        <f t="shared" si="43"/>
        <v>12890.021538123134</v>
      </c>
      <c r="BL18" s="55">
        <f t="shared" si="2"/>
        <v>23.92</v>
      </c>
      <c r="BM18" s="6">
        <f t="shared" si="2"/>
        <v>-141.27000000000001</v>
      </c>
      <c r="BN18" s="6">
        <f t="shared" si="2"/>
        <v>-80.900000000000006</v>
      </c>
      <c r="BO18" s="6">
        <f t="shared" si="2"/>
        <v>0</v>
      </c>
      <c r="BP18" s="6">
        <f t="shared" si="2"/>
        <v>-0.35</v>
      </c>
      <c r="BQ18" s="6">
        <f t="shared" si="2"/>
        <v>-0.82</v>
      </c>
      <c r="BR18" s="6">
        <f t="shared" si="3"/>
        <v>0</v>
      </c>
      <c r="BS18" s="6">
        <f t="shared" si="3"/>
        <v>-1.6968478838833759E-6</v>
      </c>
      <c r="BT18" s="6">
        <f t="shared" si="3"/>
        <v>-3.9754721850981945E-6</v>
      </c>
      <c r="BU18" s="67">
        <f t="shared" si="44"/>
        <v>-0.22</v>
      </c>
      <c r="BV18" s="59">
        <f t="shared" si="45"/>
        <v>5143380.9540973902</v>
      </c>
      <c r="BW18" s="60">
        <f t="shared" si="46"/>
        <v>3771821.4489536658</v>
      </c>
      <c r="BX18" s="68">
        <f t="shared" si="47"/>
        <v>12800.391182411484</v>
      </c>
      <c r="BY18" s="55">
        <f t="shared" si="4"/>
        <v>23.92</v>
      </c>
      <c r="BZ18" s="6">
        <f t="shared" si="4"/>
        <v>-141.27000000000001</v>
      </c>
      <c r="CA18" s="6">
        <f t="shared" si="4"/>
        <v>-80.900000000000006</v>
      </c>
      <c r="CB18" s="6">
        <f t="shared" si="4"/>
        <v>0</v>
      </c>
      <c r="CC18" s="6">
        <f t="shared" si="4"/>
        <v>-0.35</v>
      </c>
      <c r="CD18" s="6">
        <f t="shared" si="4"/>
        <v>-0.82</v>
      </c>
      <c r="CE18" s="6">
        <f t="shared" si="5"/>
        <v>0</v>
      </c>
      <c r="CF18" s="6">
        <f t="shared" si="5"/>
        <v>-1.6968478838833759E-6</v>
      </c>
      <c r="CG18" s="6">
        <f t="shared" si="5"/>
        <v>-3.9754721850981945E-6</v>
      </c>
      <c r="CH18" s="67">
        <f t="shared" si="48"/>
        <v>-0.22</v>
      </c>
      <c r="CI18" s="64">
        <f t="shared" si="49"/>
        <v>5143373.1386954347</v>
      </c>
      <c r="CJ18" s="65">
        <f t="shared" si="50"/>
        <v>3771943.1013819654</v>
      </c>
      <c r="CK18" s="66">
        <f t="shared" si="51"/>
        <v>12890.021535505568</v>
      </c>
      <c r="CL18" s="69">
        <f t="shared" si="52"/>
        <v>6378231.8869665386</v>
      </c>
      <c r="CM18" s="6">
        <f t="shared" si="53"/>
        <v>6378245</v>
      </c>
      <c r="CN18" s="6">
        <f t="shared" si="53"/>
        <v>3.352329869259135E-3</v>
      </c>
      <c r="CO18" s="9">
        <f t="shared" si="54"/>
        <v>6.6934216229659433E-3</v>
      </c>
      <c r="CP18" s="9">
        <f t="shared" si="55"/>
        <v>6378244.911930861</v>
      </c>
      <c r="CQ18" s="9">
        <f t="shared" si="56"/>
        <v>2.0209368702047577E-3</v>
      </c>
      <c r="CR18" s="9">
        <f t="shared" si="57"/>
        <v>3.3467108576934797E-3</v>
      </c>
      <c r="CS18" s="9">
        <f t="shared" ca="1" si="58"/>
        <v>1.3618097007062995E-5</v>
      </c>
      <c r="CT18" s="9">
        <f t="shared" ca="1" si="59"/>
        <v>2.0345549672118207E-3</v>
      </c>
      <c r="CU18" s="46">
        <f t="shared" ca="1" si="6"/>
        <v>1.3618097007062995E-5</v>
      </c>
      <c r="CV18" s="70">
        <f t="shared" ca="1" si="60"/>
        <v>0</v>
      </c>
      <c r="CW18" s="71">
        <f t="shared" ca="1" si="61"/>
        <v>2.0345549672118207E-3</v>
      </c>
      <c r="CX18" s="59">
        <f t="shared" ca="1" si="62"/>
        <v>0</v>
      </c>
      <c r="CY18" s="60">
        <f t="shared" ca="1" si="63"/>
        <v>6</v>
      </c>
      <c r="CZ18" s="61">
        <f t="shared" ca="1" si="64"/>
        <v>59.6571</v>
      </c>
      <c r="DA18" s="9">
        <f t="shared" ca="1" si="65"/>
        <v>0.11657141280861491</v>
      </c>
      <c r="DB18" s="9">
        <f t="shared" si="66"/>
        <v>0.63276604640771628</v>
      </c>
      <c r="DC18" s="9">
        <f t="shared" si="67"/>
        <v>0</v>
      </c>
      <c r="DD18" s="9">
        <f t="shared" si="68"/>
        <v>0.63276604640771628</v>
      </c>
      <c r="DE18" s="60">
        <f t="shared" si="69"/>
        <v>36</v>
      </c>
      <c r="DF18" s="60">
        <f t="shared" si="70"/>
        <v>15</v>
      </c>
      <c r="DG18" s="61">
        <f t="shared" si="71"/>
        <v>17.366</v>
      </c>
      <c r="DH18" s="9">
        <f t="shared" si="72"/>
        <v>36.254823878341327</v>
      </c>
      <c r="DI18" s="66">
        <f t="shared" ca="1" si="73"/>
        <v>-3.001755103468895E-4</v>
      </c>
      <c r="DJ18" s="55">
        <f t="shared" si="74"/>
        <v>39</v>
      </c>
      <c r="DK18" s="6">
        <f t="shared" si="75"/>
        <v>-4.7912361870072265E-2</v>
      </c>
      <c r="DL18" s="6">
        <f t="shared" si="76"/>
        <v>6356863.0187730473</v>
      </c>
      <c r="DM18" s="6">
        <f t="shared" si="77"/>
        <v>6.7385254146834087E-3</v>
      </c>
      <c r="DN18" s="72">
        <f t="shared" ca="1" si="78"/>
        <v>6.7384975211760307E-3</v>
      </c>
      <c r="DO18" s="73">
        <f t="shared" ca="1" si="79"/>
        <v>6378245.0883603953</v>
      </c>
      <c r="DP18" s="6">
        <f t="shared" si="80"/>
        <v>1.0050517725429551</v>
      </c>
      <c r="DQ18" s="6">
        <f t="shared" si="81"/>
        <v>-2.5311877419908228E-3</v>
      </c>
      <c r="DR18" s="6">
        <f t="shared" si="82"/>
        <v>2.6558601241364054E-6</v>
      </c>
      <c r="DS18" s="6">
        <f t="shared" si="83"/>
        <v>-3.4165783147131439E-9</v>
      </c>
      <c r="DT18" s="6">
        <f t="shared" si="7"/>
        <v>7</v>
      </c>
      <c r="DU18" s="6">
        <f t="shared" si="7"/>
        <v>0</v>
      </c>
      <c r="DV18" s="6">
        <f t="shared" si="7"/>
        <v>500000</v>
      </c>
      <c r="DW18" s="6">
        <f t="shared" si="7"/>
        <v>1</v>
      </c>
      <c r="DX18" s="74">
        <f t="shared" ca="1" si="84"/>
        <v>12890.030428976437</v>
      </c>
      <c r="DY18" s="58">
        <f t="shared" ca="1" si="85"/>
        <v>-305713.93034284032</v>
      </c>
      <c r="DZ18" s="64">
        <f t="shared" ca="1" si="86"/>
        <v>12904.939659140397</v>
      </c>
      <c r="EA18" s="66">
        <f t="shared" ca="1" si="87"/>
        <v>7194286.06965716</v>
      </c>
      <c r="ED18" s="77"/>
      <c r="EE18" s="77"/>
    </row>
    <row r="19" spans="1:135" x14ac:dyDescent="0.25">
      <c r="A19" s="4">
        <v>12</v>
      </c>
      <c r="B19" s="4"/>
      <c r="C19" s="20"/>
      <c r="D19" s="21"/>
      <c r="E19" s="20"/>
      <c r="F19" s="20"/>
      <c r="G19" s="20"/>
      <c r="H19" s="22"/>
      <c r="I19" s="22"/>
      <c r="J19" s="22"/>
      <c r="K19" s="23"/>
      <c r="L19" s="22"/>
      <c r="M19" s="4"/>
      <c r="N19" s="24"/>
      <c r="O19" s="4"/>
      <c r="P19" s="4"/>
      <c r="Q19" s="20"/>
      <c r="R19" s="4"/>
      <c r="T19" s="53">
        <v>12</v>
      </c>
      <c r="U19" s="26"/>
      <c r="V19" s="26"/>
      <c r="W19" s="54"/>
      <c r="X19" s="55">
        <f t="shared" si="1"/>
        <v>1</v>
      </c>
      <c r="Y19" s="6">
        <f t="shared" si="1"/>
        <v>-12900</v>
      </c>
      <c r="Z19" s="6">
        <f t="shared" si="1"/>
        <v>250000</v>
      </c>
      <c r="AA19" s="6">
        <f t="shared" si="10"/>
        <v>0</v>
      </c>
      <c r="AB19" s="30">
        <f t="shared" si="8"/>
        <v>12900</v>
      </c>
      <c r="AC19" s="30">
        <f t="shared" si="9"/>
        <v>-250000</v>
      </c>
      <c r="AD19" s="6">
        <f t="shared" si="11"/>
        <v>38.5</v>
      </c>
      <c r="AE19" s="6">
        <f t="shared" si="11"/>
        <v>6378245</v>
      </c>
      <c r="AF19" s="6">
        <f t="shared" si="12"/>
        <v>6356863.0187730473</v>
      </c>
      <c r="AG19" s="6">
        <f t="shared" si="13"/>
        <v>3.352329869259135E-3</v>
      </c>
      <c r="AH19" s="8">
        <f t="shared" si="14"/>
        <v>6.6934216229658618E-3</v>
      </c>
      <c r="AI19" s="56">
        <f t="shared" si="15"/>
        <v>6.7385254146834087E-3</v>
      </c>
      <c r="AJ19" s="57">
        <f t="shared" si="16"/>
        <v>6378245.0883603953</v>
      </c>
      <c r="AK19" s="8">
        <f t="shared" si="17"/>
        <v>2.0361285582720838E-3</v>
      </c>
      <c r="AL19" s="8">
        <f t="shared" si="18"/>
        <v>6367558.4882606138</v>
      </c>
      <c r="AM19" s="8">
        <f t="shared" si="19"/>
        <v>16036.473376007938</v>
      </c>
      <c r="AN19" s="8">
        <f t="shared" si="20"/>
        <v>16.826341825445081</v>
      </c>
      <c r="AO19" s="8">
        <f t="shared" si="21"/>
        <v>2.1689203848674052E-2</v>
      </c>
      <c r="AP19" s="8">
        <f t="shared" si="22"/>
        <v>1.5704606433433228E-7</v>
      </c>
      <c r="AQ19" s="8">
        <f t="shared" si="23"/>
        <v>2.5184636976839014E-3</v>
      </c>
      <c r="AR19" s="8">
        <f t="shared" si="24"/>
        <v>3.70015534400603E-6</v>
      </c>
      <c r="AS19" s="8">
        <f t="shared" si="25"/>
        <v>7.4016654475384287E-9</v>
      </c>
      <c r="AT19" s="8">
        <f t="shared" si="26"/>
        <v>6378245.0884971283</v>
      </c>
      <c r="AU19" s="8">
        <f t="shared" si="27"/>
        <v>8.2088351658514316E-2</v>
      </c>
      <c r="AV19" s="8">
        <f t="shared" si="28"/>
        <v>2.0361313720839145E-3</v>
      </c>
      <c r="AW19" s="8">
        <f t="shared" si="29"/>
        <v>1.0067384974780118</v>
      </c>
      <c r="AX19" s="58">
        <f t="shared" si="30"/>
        <v>2.0345549675285794E-3</v>
      </c>
      <c r="AY19" s="59">
        <f t="shared" si="31"/>
        <v>0</v>
      </c>
      <c r="AZ19" s="60">
        <f t="shared" si="32"/>
        <v>6</v>
      </c>
      <c r="BA19" s="61">
        <f t="shared" si="33"/>
        <v>59.657086176349864</v>
      </c>
      <c r="BB19" s="56">
        <f t="shared" si="34"/>
        <v>0.11657141282676385</v>
      </c>
      <c r="BC19" s="56">
        <f t="shared" si="35"/>
        <v>-3.9185715631620689E-2</v>
      </c>
      <c r="BD19" s="56">
        <f t="shared" si="36"/>
        <v>0.63276604638619627</v>
      </c>
      <c r="BE19" s="56">
        <f t="shared" si="37"/>
        <v>36.254823877108315</v>
      </c>
      <c r="BF19" s="62">
        <f t="shared" si="38"/>
        <v>36</v>
      </c>
      <c r="BG19" s="60">
        <f t="shared" si="39"/>
        <v>15</v>
      </c>
      <c r="BH19" s="63">
        <f t="shared" si="40"/>
        <v>17.365957589933601</v>
      </c>
      <c r="BI19" s="64">
        <f t="shared" si="41"/>
        <v>5143373.1390186641</v>
      </c>
      <c r="BJ19" s="65">
        <f t="shared" si="42"/>
        <v>3771943.1014487948</v>
      </c>
      <c r="BK19" s="66">
        <f t="shared" si="43"/>
        <v>12890.021538123134</v>
      </c>
      <c r="BL19" s="55">
        <f t="shared" si="2"/>
        <v>23.92</v>
      </c>
      <c r="BM19" s="6">
        <f t="shared" si="2"/>
        <v>-141.27000000000001</v>
      </c>
      <c r="BN19" s="6">
        <f t="shared" si="2"/>
        <v>-80.900000000000006</v>
      </c>
      <c r="BO19" s="6">
        <f t="shared" si="2"/>
        <v>0</v>
      </c>
      <c r="BP19" s="6">
        <f t="shared" si="2"/>
        <v>-0.35</v>
      </c>
      <c r="BQ19" s="6">
        <f t="shared" si="2"/>
        <v>-0.82</v>
      </c>
      <c r="BR19" s="6">
        <f t="shared" si="3"/>
        <v>0</v>
      </c>
      <c r="BS19" s="6">
        <f t="shared" si="3"/>
        <v>-1.6968478838833759E-6</v>
      </c>
      <c r="BT19" s="6">
        <f t="shared" si="3"/>
        <v>-3.9754721850981945E-6</v>
      </c>
      <c r="BU19" s="67">
        <f t="shared" si="44"/>
        <v>-0.22</v>
      </c>
      <c r="BV19" s="59">
        <f t="shared" si="45"/>
        <v>5143380.9540973902</v>
      </c>
      <c r="BW19" s="60">
        <f t="shared" si="46"/>
        <v>3771821.4489536658</v>
      </c>
      <c r="BX19" s="68">
        <f t="shared" si="47"/>
        <v>12800.391182411484</v>
      </c>
      <c r="BY19" s="55">
        <f t="shared" si="4"/>
        <v>23.92</v>
      </c>
      <c r="BZ19" s="6">
        <f t="shared" si="4"/>
        <v>-141.27000000000001</v>
      </c>
      <c r="CA19" s="6">
        <f t="shared" si="4"/>
        <v>-80.900000000000006</v>
      </c>
      <c r="CB19" s="6">
        <f t="shared" si="4"/>
        <v>0</v>
      </c>
      <c r="CC19" s="6">
        <f t="shared" si="4"/>
        <v>-0.35</v>
      </c>
      <c r="CD19" s="6">
        <f t="shared" si="4"/>
        <v>-0.82</v>
      </c>
      <c r="CE19" s="6">
        <f t="shared" si="5"/>
        <v>0</v>
      </c>
      <c r="CF19" s="6">
        <f t="shared" si="5"/>
        <v>-1.6968478838833759E-6</v>
      </c>
      <c r="CG19" s="6">
        <f t="shared" si="5"/>
        <v>-3.9754721850981945E-6</v>
      </c>
      <c r="CH19" s="67">
        <f t="shared" si="48"/>
        <v>-0.22</v>
      </c>
      <c r="CI19" s="64">
        <f t="shared" si="49"/>
        <v>5143373.1386954347</v>
      </c>
      <c r="CJ19" s="65">
        <f t="shared" si="50"/>
        <v>3771943.1013819654</v>
      </c>
      <c r="CK19" s="66">
        <f t="shared" si="51"/>
        <v>12890.021535505568</v>
      </c>
      <c r="CL19" s="69">
        <f t="shared" si="52"/>
        <v>6378231.8869665386</v>
      </c>
      <c r="CM19" s="6">
        <f t="shared" si="53"/>
        <v>6378245</v>
      </c>
      <c r="CN19" s="6">
        <f t="shared" si="53"/>
        <v>3.352329869259135E-3</v>
      </c>
      <c r="CO19" s="9">
        <f t="shared" si="54"/>
        <v>6.6934216229659433E-3</v>
      </c>
      <c r="CP19" s="9">
        <f t="shared" si="55"/>
        <v>6378244.911930861</v>
      </c>
      <c r="CQ19" s="9">
        <f t="shared" si="56"/>
        <v>2.0209368702047577E-3</v>
      </c>
      <c r="CR19" s="9">
        <f t="shared" si="57"/>
        <v>3.3467108576934797E-3</v>
      </c>
      <c r="CS19" s="9">
        <f t="shared" ca="1" si="58"/>
        <v>1.3618097007062995E-5</v>
      </c>
      <c r="CT19" s="9">
        <f t="shared" ca="1" si="59"/>
        <v>2.0345549672118207E-3</v>
      </c>
      <c r="CU19" s="46">
        <f t="shared" ca="1" si="6"/>
        <v>1.3618097007062995E-5</v>
      </c>
      <c r="CV19" s="70">
        <f t="shared" ca="1" si="60"/>
        <v>0</v>
      </c>
      <c r="CW19" s="71">
        <f t="shared" ca="1" si="61"/>
        <v>2.0345549672118207E-3</v>
      </c>
      <c r="CX19" s="59">
        <f t="shared" ca="1" si="62"/>
        <v>0</v>
      </c>
      <c r="CY19" s="60">
        <f t="shared" ca="1" si="63"/>
        <v>6</v>
      </c>
      <c r="CZ19" s="61">
        <f t="shared" ca="1" si="64"/>
        <v>59.6571</v>
      </c>
      <c r="DA19" s="9">
        <f t="shared" ca="1" si="65"/>
        <v>0.11657141280861491</v>
      </c>
      <c r="DB19" s="9">
        <f t="shared" si="66"/>
        <v>0.63276604640771628</v>
      </c>
      <c r="DC19" s="9">
        <f t="shared" si="67"/>
        <v>0</v>
      </c>
      <c r="DD19" s="9">
        <f t="shared" si="68"/>
        <v>0.63276604640771628</v>
      </c>
      <c r="DE19" s="60">
        <f t="shared" si="69"/>
        <v>36</v>
      </c>
      <c r="DF19" s="60">
        <f t="shared" si="70"/>
        <v>15</v>
      </c>
      <c r="DG19" s="61">
        <f t="shared" si="71"/>
        <v>17.366</v>
      </c>
      <c r="DH19" s="9">
        <f t="shared" si="72"/>
        <v>36.254823878341327</v>
      </c>
      <c r="DI19" s="66">
        <f t="shared" ca="1" si="73"/>
        <v>-3.001755103468895E-4</v>
      </c>
      <c r="DJ19" s="55">
        <f t="shared" si="74"/>
        <v>39</v>
      </c>
      <c r="DK19" s="6">
        <f t="shared" si="75"/>
        <v>-4.7912361870072265E-2</v>
      </c>
      <c r="DL19" s="6">
        <f t="shared" si="76"/>
        <v>6356863.0187730473</v>
      </c>
      <c r="DM19" s="6">
        <f t="shared" si="77"/>
        <v>6.7385254146834087E-3</v>
      </c>
      <c r="DN19" s="72">
        <f t="shared" ca="1" si="78"/>
        <v>6.7384975211760307E-3</v>
      </c>
      <c r="DO19" s="73">
        <f t="shared" ca="1" si="79"/>
        <v>6378245.0883603953</v>
      </c>
      <c r="DP19" s="6">
        <f t="shared" si="80"/>
        <v>1.0050517725429551</v>
      </c>
      <c r="DQ19" s="6">
        <f t="shared" si="81"/>
        <v>-2.5311877419908228E-3</v>
      </c>
      <c r="DR19" s="6">
        <f t="shared" si="82"/>
        <v>2.6558601241364054E-6</v>
      </c>
      <c r="DS19" s="6">
        <f t="shared" si="83"/>
        <v>-3.4165783147131439E-9</v>
      </c>
      <c r="DT19" s="6">
        <f t="shared" si="7"/>
        <v>7</v>
      </c>
      <c r="DU19" s="6">
        <f t="shared" si="7"/>
        <v>0</v>
      </c>
      <c r="DV19" s="6">
        <f t="shared" si="7"/>
        <v>500000</v>
      </c>
      <c r="DW19" s="6">
        <f t="shared" si="7"/>
        <v>1</v>
      </c>
      <c r="DX19" s="74">
        <f t="shared" ca="1" si="84"/>
        <v>12890.030428976437</v>
      </c>
      <c r="DY19" s="58">
        <f t="shared" ca="1" si="85"/>
        <v>-305713.93034284032</v>
      </c>
      <c r="DZ19" s="64">
        <f t="shared" ca="1" si="86"/>
        <v>12904.939659140397</v>
      </c>
      <c r="EA19" s="66">
        <f t="shared" ca="1" si="87"/>
        <v>7194286.06965716</v>
      </c>
      <c r="ED19" s="77"/>
      <c r="EE19" s="77"/>
    </row>
    <row r="20" spans="1:135" x14ac:dyDescent="0.25">
      <c r="A20" s="4">
        <v>13</v>
      </c>
      <c r="B20" s="4"/>
      <c r="C20" s="20"/>
      <c r="D20" s="21"/>
      <c r="E20" s="20"/>
      <c r="F20" s="20"/>
      <c r="G20" s="20"/>
      <c r="H20" s="22"/>
      <c r="I20" s="22"/>
      <c r="J20" s="22"/>
      <c r="K20" s="23"/>
      <c r="L20" s="22"/>
      <c r="M20" s="4"/>
      <c r="N20" s="24"/>
      <c r="O20" s="4"/>
      <c r="P20" s="4"/>
      <c r="Q20" s="20"/>
      <c r="R20" s="4"/>
      <c r="T20" s="53">
        <v>13</v>
      </c>
      <c r="U20" s="26"/>
      <c r="V20" s="26"/>
      <c r="W20" s="54"/>
      <c r="X20" s="55">
        <f t="shared" si="1"/>
        <v>1</v>
      </c>
      <c r="Y20" s="6">
        <f t="shared" si="1"/>
        <v>-12900</v>
      </c>
      <c r="Z20" s="6">
        <f t="shared" si="1"/>
        <v>250000</v>
      </c>
      <c r="AA20" s="6">
        <f t="shared" si="10"/>
        <v>0</v>
      </c>
      <c r="AB20" s="30">
        <f t="shared" si="8"/>
        <v>12900</v>
      </c>
      <c r="AC20" s="30">
        <f t="shared" si="9"/>
        <v>-250000</v>
      </c>
      <c r="AD20" s="6">
        <f t="shared" si="11"/>
        <v>38.5</v>
      </c>
      <c r="AE20" s="6">
        <f t="shared" si="11"/>
        <v>6378245</v>
      </c>
      <c r="AF20" s="6">
        <f t="shared" si="12"/>
        <v>6356863.0187730473</v>
      </c>
      <c r="AG20" s="6">
        <f t="shared" si="13"/>
        <v>3.352329869259135E-3</v>
      </c>
      <c r="AH20" s="8">
        <f t="shared" si="14"/>
        <v>6.6934216229658618E-3</v>
      </c>
      <c r="AI20" s="56">
        <f t="shared" si="15"/>
        <v>6.7385254146834087E-3</v>
      </c>
      <c r="AJ20" s="57">
        <f t="shared" si="16"/>
        <v>6378245.0883603953</v>
      </c>
      <c r="AK20" s="8">
        <f t="shared" si="17"/>
        <v>2.0361285582720838E-3</v>
      </c>
      <c r="AL20" s="8">
        <f t="shared" si="18"/>
        <v>6367558.4882606138</v>
      </c>
      <c r="AM20" s="8">
        <f t="shared" si="19"/>
        <v>16036.473376007938</v>
      </c>
      <c r="AN20" s="8">
        <f t="shared" si="20"/>
        <v>16.826341825445081</v>
      </c>
      <c r="AO20" s="8">
        <f t="shared" si="21"/>
        <v>2.1689203848674052E-2</v>
      </c>
      <c r="AP20" s="8">
        <f t="shared" si="22"/>
        <v>1.5704606433433228E-7</v>
      </c>
      <c r="AQ20" s="8">
        <f t="shared" si="23"/>
        <v>2.5184636976839014E-3</v>
      </c>
      <c r="AR20" s="8">
        <f t="shared" si="24"/>
        <v>3.70015534400603E-6</v>
      </c>
      <c r="AS20" s="8">
        <f t="shared" si="25"/>
        <v>7.4016654475384287E-9</v>
      </c>
      <c r="AT20" s="8">
        <f t="shared" si="26"/>
        <v>6378245.0884971283</v>
      </c>
      <c r="AU20" s="8">
        <f t="shared" si="27"/>
        <v>8.2088351658514316E-2</v>
      </c>
      <c r="AV20" s="8">
        <f t="shared" si="28"/>
        <v>2.0361313720839145E-3</v>
      </c>
      <c r="AW20" s="8">
        <f t="shared" si="29"/>
        <v>1.0067384974780118</v>
      </c>
      <c r="AX20" s="58">
        <f t="shared" si="30"/>
        <v>2.0345549675285794E-3</v>
      </c>
      <c r="AY20" s="59">
        <f t="shared" si="31"/>
        <v>0</v>
      </c>
      <c r="AZ20" s="60">
        <f t="shared" si="32"/>
        <v>6</v>
      </c>
      <c r="BA20" s="61">
        <f t="shared" si="33"/>
        <v>59.657086176349864</v>
      </c>
      <c r="BB20" s="56">
        <f t="shared" si="34"/>
        <v>0.11657141282676385</v>
      </c>
      <c r="BC20" s="56">
        <f t="shared" si="35"/>
        <v>-3.9185715631620689E-2</v>
      </c>
      <c r="BD20" s="56">
        <f t="shared" si="36"/>
        <v>0.63276604638619627</v>
      </c>
      <c r="BE20" s="56">
        <f t="shared" si="37"/>
        <v>36.254823877108315</v>
      </c>
      <c r="BF20" s="62">
        <f t="shared" si="38"/>
        <v>36</v>
      </c>
      <c r="BG20" s="60">
        <f t="shared" si="39"/>
        <v>15</v>
      </c>
      <c r="BH20" s="63">
        <f t="shared" si="40"/>
        <v>17.365957589933601</v>
      </c>
      <c r="BI20" s="64">
        <f t="shared" si="41"/>
        <v>5143373.1390186641</v>
      </c>
      <c r="BJ20" s="65">
        <f t="shared" si="42"/>
        <v>3771943.1014487948</v>
      </c>
      <c r="BK20" s="66">
        <f t="shared" si="43"/>
        <v>12890.021538123134</v>
      </c>
      <c r="BL20" s="55">
        <f t="shared" si="2"/>
        <v>23.92</v>
      </c>
      <c r="BM20" s="6">
        <f t="shared" si="2"/>
        <v>-141.27000000000001</v>
      </c>
      <c r="BN20" s="6">
        <f t="shared" si="2"/>
        <v>-80.900000000000006</v>
      </c>
      <c r="BO20" s="6">
        <f t="shared" si="2"/>
        <v>0</v>
      </c>
      <c r="BP20" s="6">
        <f t="shared" si="2"/>
        <v>-0.35</v>
      </c>
      <c r="BQ20" s="6">
        <f t="shared" si="2"/>
        <v>-0.82</v>
      </c>
      <c r="BR20" s="6">
        <f t="shared" si="3"/>
        <v>0</v>
      </c>
      <c r="BS20" s="6">
        <f t="shared" si="3"/>
        <v>-1.6968478838833759E-6</v>
      </c>
      <c r="BT20" s="6">
        <f t="shared" si="3"/>
        <v>-3.9754721850981945E-6</v>
      </c>
      <c r="BU20" s="67">
        <f t="shared" si="44"/>
        <v>-0.22</v>
      </c>
      <c r="BV20" s="59">
        <f t="shared" si="45"/>
        <v>5143380.9540973902</v>
      </c>
      <c r="BW20" s="60">
        <f t="shared" si="46"/>
        <v>3771821.4489536658</v>
      </c>
      <c r="BX20" s="68">
        <f t="shared" si="47"/>
        <v>12800.391182411484</v>
      </c>
      <c r="BY20" s="55">
        <f t="shared" si="4"/>
        <v>23.92</v>
      </c>
      <c r="BZ20" s="6">
        <f t="shared" si="4"/>
        <v>-141.27000000000001</v>
      </c>
      <c r="CA20" s="6">
        <f t="shared" si="4"/>
        <v>-80.900000000000006</v>
      </c>
      <c r="CB20" s="6">
        <f t="shared" si="4"/>
        <v>0</v>
      </c>
      <c r="CC20" s="6">
        <f t="shared" si="4"/>
        <v>-0.35</v>
      </c>
      <c r="CD20" s="6">
        <f t="shared" si="4"/>
        <v>-0.82</v>
      </c>
      <c r="CE20" s="6">
        <f t="shared" si="5"/>
        <v>0</v>
      </c>
      <c r="CF20" s="6">
        <f t="shared" si="5"/>
        <v>-1.6968478838833759E-6</v>
      </c>
      <c r="CG20" s="6">
        <f t="shared" si="5"/>
        <v>-3.9754721850981945E-6</v>
      </c>
      <c r="CH20" s="67">
        <f t="shared" si="48"/>
        <v>-0.22</v>
      </c>
      <c r="CI20" s="64">
        <f t="shared" si="49"/>
        <v>5143373.1386954347</v>
      </c>
      <c r="CJ20" s="65">
        <f t="shared" si="50"/>
        <v>3771943.1013819654</v>
      </c>
      <c r="CK20" s="66">
        <f t="shared" si="51"/>
        <v>12890.021535505568</v>
      </c>
      <c r="CL20" s="69">
        <f t="shared" si="52"/>
        <v>6378231.8869665386</v>
      </c>
      <c r="CM20" s="6">
        <f t="shared" si="53"/>
        <v>6378245</v>
      </c>
      <c r="CN20" s="6">
        <f t="shared" si="53"/>
        <v>3.352329869259135E-3</v>
      </c>
      <c r="CO20" s="9">
        <f t="shared" si="54"/>
        <v>6.6934216229659433E-3</v>
      </c>
      <c r="CP20" s="9">
        <f t="shared" si="55"/>
        <v>6378244.911930861</v>
      </c>
      <c r="CQ20" s="9">
        <f t="shared" si="56"/>
        <v>2.0209368702047577E-3</v>
      </c>
      <c r="CR20" s="9">
        <f t="shared" si="57"/>
        <v>3.3467108576934797E-3</v>
      </c>
      <c r="CS20" s="9">
        <f t="shared" ca="1" si="58"/>
        <v>1.3618097007062995E-5</v>
      </c>
      <c r="CT20" s="9">
        <f t="shared" ca="1" si="59"/>
        <v>2.0345549672118207E-3</v>
      </c>
      <c r="CU20" s="46">
        <f t="shared" ca="1" si="6"/>
        <v>1.3618097007062995E-5</v>
      </c>
      <c r="CV20" s="70">
        <f t="shared" ca="1" si="60"/>
        <v>0</v>
      </c>
      <c r="CW20" s="71">
        <f t="shared" ca="1" si="61"/>
        <v>2.0345549672118207E-3</v>
      </c>
      <c r="CX20" s="59">
        <f t="shared" ca="1" si="62"/>
        <v>0</v>
      </c>
      <c r="CY20" s="60">
        <f t="shared" ca="1" si="63"/>
        <v>6</v>
      </c>
      <c r="CZ20" s="61">
        <f t="shared" ca="1" si="64"/>
        <v>59.6571</v>
      </c>
      <c r="DA20" s="9">
        <f t="shared" ca="1" si="65"/>
        <v>0.11657141280861491</v>
      </c>
      <c r="DB20" s="9">
        <f t="shared" si="66"/>
        <v>0.63276604640771628</v>
      </c>
      <c r="DC20" s="9">
        <f t="shared" si="67"/>
        <v>0</v>
      </c>
      <c r="DD20" s="9">
        <f t="shared" si="68"/>
        <v>0.63276604640771628</v>
      </c>
      <c r="DE20" s="60">
        <f t="shared" si="69"/>
        <v>36</v>
      </c>
      <c r="DF20" s="60">
        <f t="shared" si="70"/>
        <v>15</v>
      </c>
      <c r="DG20" s="61">
        <f t="shared" si="71"/>
        <v>17.366</v>
      </c>
      <c r="DH20" s="9">
        <f t="shared" si="72"/>
        <v>36.254823878341327</v>
      </c>
      <c r="DI20" s="66">
        <f t="shared" ca="1" si="73"/>
        <v>-3.001755103468895E-4</v>
      </c>
      <c r="DJ20" s="55">
        <f t="shared" si="74"/>
        <v>39</v>
      </c>
      <c r="DK20" s="6">
        <f t="shared" si="75"/>
        <v>-4.7912361870072265E-2</v>
      </c>
      <c r="DL20" s="6">
        <f t="shared" si="76"/>
        <v>6356863.0187730473</v>
      </c>
      <c r="DM20" s="6">
        <f t="shared" si="77"/>
        <v>6.7385254146834087E-3</v>
      </c>
      <c r="DN20" s="72">
        <f t="shared" ca="1" si="78"/>
        <v>6.7384975211760307E-3</v>
      </c>
      <c r="DO20" s="73">
        <f t="shared" ca="1" si="79"/>
        <v>6378245.0883603953</v>
      </c>
      <c r="DP20" s="6">
        <f t="shared" si="80"/>
        <v>1.0050517725429551</v>
      </c>
      <c r="DQ20" s="6">
        <f t="shared" si="81"/>
        <v>-2.5311877419908228E-3</v>
      </c>
      <c r="DR20" s="6">
        <f t="shared" si="82"/>
        <v>2.6558601241364054E-6</v>
      </c>
      <c r="DS20" s="6">
        <f t="shared" si="83"/>
        <v>-3.4165783147131439E-9</v>
      </c>
      <c r="DT20" s="6">
        <f t="shared" si="7"/>
        <v>7</v>
      </c>
      <c r="DU20" s="6">
        <f t="shared" si="7"/>
        <v>0</v>
      </c>
      <c r="DV20" s="6">
        <f t="shared" si="7"/>
        <v>500000</v>
      </c>
      <c r="DW20" s="6">
        <f t="shared" si="7"/>
        <v>1</v>
      </c>
      <c r="DX20" s="74">
        <f t="shared" ca="1" si="84"/>
        <v>12890.030428976437</v>
      </c>
      <c r="DY20" s="58">
        <f t="shared" ca="1" si="85"/>
        <v>-305713.93034284032</v>
      </c>
      <c r="DZ20" s="64">
        <f t="shared" ca="1" si="86"/>
        <v>12904.939659140397</v>
      </c>
      <c r="EA20" s="66">
        <f t="shared" ca="1" si="87"/>
        <v>7194286.06965716</v>
      </c>
    </row>
    <row r="21" spans="1:135" x14ac:dyDescent="0.25">
      <c r="A21" s="4">
        <v>14</v>
      </c>
      <c r="B21" s="4"/>
      <c r="C21" s="20"/>
      <c r="D21" s="21"/>
      <c r="E21" s="20"/>
      <c r="F21" s="20"/>
      <c r="G21" s="20"/>
      <c r="H21" s="22"/>
      <c r="I21" s="22"/>
      <c r="J21" s="22"/>
      <c r="K21" s="23"/>
      <c r="L21" s="22"/>
      <c r="M21" s="4"/>
      <c r="N21" s="24"/>
      <c r="O21" s="4"/>
      <c r="P21" s="4"/>
      <c r="Q21" s="20"/>
      <c r="R21" s="4"/>
      <c r="T21" s="53">
        <v>14</v>
      </c>
      <c r="U21" s="26"/>
      <c r="V21" s="26"/>
      <c r="W21" s="54"/>
      <c r="X21" s="55">
        <f t="shared" si="1"/>
        <v>1</v>
      </c>
      <c r="Y21" s="6">
        <f t="shared" si="1"/>
        <v>-12900</v>
      </c>
      <c r="Z21" s="6">
        <f t="shared" si="1"/>
        <v>250000</v>
      </c>
      <c r="AA21" s="6">
        <f t="shared" si="10"/>
        <v>0</v>
      </c>
      <c r="AB21" s="30">
        <f t="shared" si="8"/>
        <v>12900</v>
      </c>
      <c r="AC21" s="30">
        <f t="shared" si="9"/>
        <v>-250000</v>
      </c>
      <c r="AD21" s="6">
        <f t="shared" si="11"/>
        <v>38.5</v>
      </c>
      <c r="AE21" s="6">
        <f t="shared" si="11"/>
        <v>6378245</v>
      </c>
      <c r="AF21" s="6">
        <f t="shared" si="12"/>
        <v>6356863.0187730473</v>
      </c>
      <c r="AG21" s="6">
        <f t="shared" si="13"/>
        <v>3.352329869259135E-3</v>
      </c>
      <c r="AH21" s="8">
        <f t="shared" si="14"/>
        <v>6.6934216229658618E-3</v>
      </c>
      <c r="AI21" s="56">
        <f t="shared" si="15"/>
        <v>6.7385254146834087E-3</v>
      </c>
      <c r="AJ21" s="57">
        <f t="shared" si="16"/>
        <v>6378245.0883603953</v>
      </c>
      <c r="AK21" s="8">
        <f t="shared" si="17"/>
        <v>2.0361285582720838E-3</v>
      </c>
      <c r="AL21" s="8">
        <f t="shared" si="18"/>
        <v>6367558.4882606138</v>
      </c>
      <c r="AM21" s="8">
        <f t="shared" si="19"/>
        <v>16036.473376007938</v>
      </c>
      <c r="AN21" s="8">
        <f t="shared" si="20"/>
        <v>16.826341825445081</v>
      </c>
      <c r="AO21" s="8">
        <f t="shared" si="21"/>
        <v>2.1689203848674052E-2</v>
      </c>
      <c r="AP21" s="8">
        <f t="shared" si="22"/>
        <v>1.5704606433433228E-7</v>
      </c>
      <c r="AQ21" s="8">
        <f t="shared" si="23"/>
        <v>2.5184636976839014E-3</v>
      </c>
      <c r="AR21" s="8">
        <f t="shared" si="24"/>
        <v>3.70015534400603E-6</v>
      </c>
      <c r="AS21" s="8">
        <f t="shared" si="25"/>
        <v>7.4016654475384287E-9</v>
      </c>
      <c r="AT21" s="8">
        <f t="shared" si="26"/>
        <v>6378245.0884971283</v>
      </c>
      <c r="AU21" s="8">
        <f t="shared" si="27"/>
        <v>8.2088351658514316E-2</v>
      </c>
      <c r="AV21" s="8">
        <f t="shared" si="28"/>
        <v>2.0361313720839145E-3</v>
      </c>
      <c r="AW21" s="8">
        <f t="shared" si="29"/>
        <v>1.0067384974780118</v>
      </c>
      <c r="AX21" s="58">
        <f t="shared" si="30"/>
        <v>2.0345549675285794E-3</v>
      </c>
      <c r="AY21" s="59">
        <f t="shared" si="31"/>
        <v>0</v>
      </c>
      <c r="AZ21" s="60">
        <f t="shared" si="32"/>
        <v>6</v>
      </c>
      <c r="BA21" s="61">
        <f t="shared" si="33"/>
        <v>59.657086176349864</v>
      </c>
      <c r="BB21" s="56">
        <f t="shared" si="34"/>
        <v>0.11657141282676385</v>
      </c>
      <c r="BC21" s="56">
        <f t="shared" si="35"/>
        <v>-3.9185715631620689E-2</v>
      </c>
      <c r="BD21" s="56">
        <f t="shared" si="36"/>
        <v>0.63276604638619627</v>
      </c>
      <c r="BE21" s="56">
        <f t="shared" si="37"/>
        <v>36.254823877108315</v>
      </c>
      <c r="BF21" s="62">
        <f t="shared" si="38"/>
        <v>36</v>
      </c>
      <c r="BG21" s="60">
        <f t="shared" si="39"/>
        <v>15</v>
      </c>
      <c r="BH21" s="63">
        <f t="shared" si="40"/>
        <v>17.365957589933601</v>
      </c>
      <c r="BI21" s="64">
        <f t="shared" si="41"/>
        <v>5143373.1390186641</v>
      </c>
      <c r="BJ21" s="65">
        <f t="shared" si="42"/>
        <v>3771943.1014487948</v>
      </c>
      <c r="BK21" s="66">
        <f t="shared" si="43"/>
        <v>12890.021538123134</v>
      </c>
      <c r="BL21" s="55">
        <f t="shared" si="2"/>
        <v>23.92</v>
      </c>
      <c r="BM21" s="6">
        <f t="shared" si="2"/>
        <v>-141.27000000000001</v>
      </c>
      <c r="BN21" s="6">
        <f t="shared" si="2"/>
        <v>-80.900000000000006</v>
      </c>
      <c r="BO21" s="6">
        <f t="shared" si="2"/>
        <v>0</v>
      </c>
      <c r="BP21" s="6">
        <f t="shared" si="2"/>
        <v>-0.35</v>
      </c>
      <c r="BQ21" s="6">
        <f t="shared" si="2"/>
        <v>-0.82</v>
      </c>
      <c r="BR21" s="6">
        <f t="shared" si="3"/>
        <v>0</v>
      </c>
      <c r="BS21" s="6">
        <f t="shared" si="3"/>
        <v>-1.6968478838833759E-6</v>
      </c>
      <c r="BT21" s="6">
        <f t="shared" si="3"/>
        <v>-3.9754721850981945E-6</v>
      </c>
      <c r="BU21" s="67">
        <f t="shared" si="44"/>
        <v>-0.22</v>
      </c>
      <c r="BV21" s="59">
        <f t="shared" si="45"/>
        <v>5143380.9540973902</v>
      </c>
      <c r="BW21" s="60">
        <f t="shared" si="46"/>
        <v>3771821.4489536658</v>
      </c>
      <c r="BX21" s="68">
        <f t="shared" si="47"/>
        <v>12800.391182411484</v>
      </c>
      <c r="BY21" s="55">
        <f t="shared" si="4"/>
        <v>23.92</v>
      </c>
      <c r="BZ21" s="6">
        <f t="shared" si="4"/>
        <v>-141.27000000000001</v>
      </c>
      <c r="CA21" s="6">
        <f t="shared" si="4"/>
        <v>-80.900000000000006</v>
      </c>
      <c r="CB21" s="6">
        <f t="shared" si="4"/>
        <v>0</v>
      </c>
      <c r="CC21" s="6">
        <f t="shared" si="4"/>
        <v>-0.35</v>
      </c>
      <c r="CD21" s="6">
        <f t="shared" si="4"/>
        <v>-0.82</v>
      </c>
      <c r="CE21" s="6">
        <f t="shared" si="5"/>
        <v>0</v>
      </c>
      <c r="CF21" s="6">
        <f t="shared" si="5"/>
        <v>-1.6968478838833759E-6</v>
      </c>
      <c r="CG21" s="6">
        <f t="shared" si="5"/>
        <v>-3.9754721850981945E-6</v>
      </c>
      <c r="CH21" s="67">
        <f t="shared" si="48"/>
        <v>-0.22</v>
      </c>
      <c r="CI21" s="64">
        <f t="shared" si="49"/>
        <v>5143373.1386954347</v>
      </c>
      <c r="CJ21" s="65">
        <f t="shared" si="50"/>
        <v>3771943.1013819654</v>
      </c>
      <c r="CK21" s="66">
        <f t="shared" si="51"/>
        <v>12890.021535505568</v>
      </c>
      <c r="CL21" s="69">
        <f t="shared" si="52"/>
        <v>6378231.8869665386</v>
      </c>
      <c r="CM21" s="6">
        <f t="shared" si="53"/>
        <v>6378245</v>
      </c>
      <c r="CN21" s="6">
        <f t="shared" si="53"/>
        <v>3.352329869259135E-3</v>
      </c>
      <c r="CO21" s="9">
        <f t="shared" si="54"/>
        <v>6.6934216229659433E-3</v>
      </c>
      <c r="CP21" s="9">
        <f t="shared" si="55"/>
        <v>6378244.911930861</v>
      </c>
      <c r="CQ21" s="9">
        <f t="shared" si="56"/>
        <v>2.0209368702047577E-3</v>
      </c>
      <c r="CR21" s="9">
        <f t="shared" si="57"/>
        <v>3.3467108576934797E-3</v>
      </c>
      <c r="CS21" s="9">
        <f t="shared" ca="1" si="58"/>
        <v>1.3618097007062995E-5</v>
      </c>
      <c r="CT21" s="9">
        <f t="shared" ca="1" si="59"/>
        <v>2.0345549672118207E-3</v>
      </c>
      <c r="CU21" s="46">
        <f t="shared" ca="1" si="6"/>
        <v>1.3618097007062995E-5</v>
      </c>
      <c r="CV21" s="70">
        <f t="shared" ca="1" si="60"/>
        <v>0</v>
      </c>
      <c r="CW21" s="71">
        <f t="shared" ca="1" si="61"/>
        <v>2.0345549672118207E-3</v>
      </c>
      <c r="CX21" s="59">
        <f t="shared" ca="1" si="62"/>
        <v>0</v>
      </c>
      <c r="CY21" s="60">
        <f t="shared" ca="1" si="63"/>
        <v>6</v>
      </c>
      <c r="CZ21" s="61">
        <f t="shared" ca="1" si="64"/>
        <v>59.6571</v>
      </c>
      <c r="DA21" s="9">
        <f t="shared" ca="1" si="65"/>
        <v>0.11657141280861491</v>
      </c>
      <c r="DB21" s="9">
        <f t="shared" si="66"/>
        <v>0.63276604640771628</v>
      </c>
      <c r="DC21" s="9">
        <f t="shared" si="67"/>
        <v>0</v>
      </c>
      <c r="DD21" s="9">
        <f t="shared" si="68"/>
        <v>0.63276604640771628</v>
      </c>
      <c r="DE21" s="60">
        <f t="shared" si="69"/>
        <v>36</v>
      </c>
      <c r="DF21" s="60">
        <f t="shared" si="70"/>
        <v>15</v>
      </c>
      <c r="DG21" s="61">
        <f t="shared" si="71"/>
        <v>17.366</v>
      </c>
      <c r="DH21" s="9">
        <f t="shared" si="72"/>
        <v>36.254823878341327</v>
      </c>
      <c r="DI21" s="66">
        <f t="shared" ca="1" si="73"/>
        <v>-3.001755103468895E-4</v>
      </c>
      <c r="DJ21" s="55">
        <f t="shared" si="74"/>
        <v>39</v>
      </c>
      <c r="DK21" s="6">
        <f t="shared" si="75"/>
        <v>-4.7912361870072265E-2</v>
      </c>
      <c r="DL21" s="6">
        <f t="shared" si="76"/>
        <v>6356863.0187730473</v>
      </c>
      <c r="DM21" s="6">
        <f t="shared" si="77"/>
        <v>6.7385254146834087E-3</v>
      </c>
      <c r="DN21" s="72">
        <f t="shared" ca="1" si="78"/>
        <v>6.7384975211760307E-3</v>
      </c>
      <c r="DO21" s="73">
        <f t="shared" ca="1" si="79"/>
        <v>6378245.0883603953</v>
      </c>
      <c r="DP21" s="6">
        <f t="shared" si="80"/>
        <v>1.0050517725429551</v>
      </c>
      <c r="DQ21" s="6">
        <f t="shared" si="81"/>
        <v>-2.5311877419908228E-3</v>
      </c>
      <c r="DR21" s="6">
        <f t="shared" si="82"/>
        <v>2.6558601241364054E-6</v>
      </c>
      <c r="DS21" s="6">
        <f t="shared" si="83"/>
        <v>-3.4165783147131439E-9</v>
      </c>
      <c r="DT21" s="6">
        <f t="shared" si="7"/>
        <v>7</v>
      </c>
      <c r="DU21" s="6">
        <f t="shared" si="7"/>
        <v>0</v>
      </c>
      <c r="DV21" s="6">
        <f t="shared" si="7"/>
        <v>500000</v>
      </c>
      <c r="DW21" s="6">
        <f t="shared" si="7"/>
        <v>1</v>
      </c>
      <c r="DX21" s="74">
        <f t="shared" ca="1" si="84"/>
        <v>12890.030428976437</v>
      </c>
      <c r="DY21" s="58">
        <f t="shared" ca="1" si="85"/>
        <v>-305713.93034284032</v>
      </c>
      <c r="DZ21" s="64">
        <f t="shared" ca="1" si="86"/>
        <v>12904.939659140397</v>
      </c>
      <c r="EA21" s="66">
        <f t="shared" ca="1" si="87"/>
        <v>7194286.06965716</v>
      </c>
    </row>
    <row r="22" spans="1:135" x14ac:dyDescent="0.25">
      <c r="A22" s="4">
        <v>15</v>
      </c>
      <c r="B22" s="4"/>
      <c r="C22" s="20"/>
      <c r="D22" s="21"/>
      <c r="E22" s="20"/>
      <c r="F22" s="20"/>
      <c r="G22" s="20"/>
      <c r="H22" s="22"/>
      <c r="I22" s="22"/>
      <c r="J22" s="22"/>
      <c r="K22" s="23"/>
      <c r="L22" s="22"/>
      <c r="M22" s="4"/>
      <c r="N22" s="24"/>
      <c r="O22" s="4"/>
      <c r="P22" s="4"/>
      <c r="Q22" s="20"/>
      <c r="R22" s="4"/>
      <c r="T22" s="53">
        <v>15</v>
      </c>
      <c r="U22" s="26"/>
      <c r="V22" s="26"/>
      <c r="W22" s="54"/>
      <c r="X22" s="55">
        <f t="shared" si="1"/>
        <v>1</v>
      </c>
      <c r="Y22" s="6">
        <f t="shared" si="1"/>
        <v>-12900</v>
      </c>
      <c r="Z22" s="6">
        <f t="shared" si="1"/>
        <v>250000</v>
      </c>
      <c r="AA22" s="6">
        <f t="shared" si="10"/>
        <v>0</v>
      </c>
      <c r="AB22" s="30">
        <f t="shared" si="8"/>
        <v>12900</v>
      </c>
      <c r="AC22" s="30">
        <f t="shared" si="9"/>
        <v>-250000</v>
      </c>
      <c r="AD22" s="6">
        <f t="shared" si="11"/>
        <v>38.5</v>
      </c>
      <c r="AE22" s="6">
        <f t="shared" si="11"/>
        <v>6378245</v>
      </c>
      <c r="AF22" s="6">
        <f t="shared" si="12"/>
        <v>6356863.0187730473</v>
      </c>
      <c r="AG22" s="6">
        <f t="shared" si="13"/>
        <v>3.352329869259135E-3</v>
      </c>
      <c r="AH22" s="8">
        <f t="shared" si="14"/>
        <v>6.6934216229658618E-3</v>
      </c>
      <c r="AI22" s="56">
        <f t="shared" si="15"/>
        <v>6.7385254146834087E-3</v>
      </c>
      <c r="AJ22" s="57">
        <f t="shared" si="16"/>
        <v>6378245.0883603953</v>
      </c>
      <c r="AK22" s="8">
        <f t="shared" si="17"/>
        <v>2.0361285582720838E-3</v>
      </c>
      <c r="AL22" s="8">
        <f t="shared" si="18"/>
        <v>6367558.4882606138</v>
      </c>
      <c r="AM22" s="8">
        <f t="shared" si="19"/>
        <v>16036.473376007938</v>
      </c>
      <c r="AN22" s="8">
        <f t="shared" si="20"/>
        <v>16.826341825445081</v>
      </c>
      <c r="AO22" s="8">
        <f t="shared" si="21"/>
        <v>2.1689203848674052E-2</v>
      </c>
      <c r="AP22" s="8">
        <f t="shared" si="22"/>
        <v>1.5704606433433228E-7</v>
      </c>
      <c r="AQ22" s="8">
        <f t="shared" si="23"/>
        <v>2.5184636976839014E-3</v>
      </c>
      <c r="AR22" s="8">
        <f t="shared" si="24"/>
        <v>3.70015534400603E-6</v>
      </c>
      <c r="AS22" s="8">
        <f t="shared" si="25"/>
        <v>7.4016654475384287E-9</v>
      </c>
      <c r="AT22" s="8">
        <f t="shared" si="26"/>
        <v>6378245.0884971283</v>
      </c>
      <c r="AU22" s="8">
        <f t="shared" si="27"/>
        <v>8.2088351658514316E-2</v>
      </c>
      <c r="AV22" s="8">
        <f t="shared" si="28"/>
        <v>2.0361313720839145E-3</v>
      </c>
      <c r="AW22" s="8">
        <f t="shared" si="29"/>
        <v>1.0067384974780118</v>
      </c>
      <c r="AX22" s="58">
        <f t="shared" si="30"/>
        <v>2.0345549675285794E-3</v>
      </c>
      <c r="AY22" s="59">
        <f t="shared" si="31"/>
        <v>0</v>
      </c>
      <c r="AZ22" s="60">
        <f t="shared" si="32"/>
        <v>6</v>
      </c>
      <c r="BA22" s="61">
        <f t="shared" si="33"/>
        <v>59.657086176349864</v>
      </c>
      <c r="BB22" s="56">
        <f t="shared" si="34"/>
        <v>0.11657141282676385</v>
      </c>
      <c r="BC22" s="56">
        <f t="shared" si="35"/>
        <v>-3.9185715631620689E-2</v>
      </c>
      <c r="BD22" s="56">
        <f t="shared" si="36"/>
        <v>0.63276604638619627</v>
      </c>
      <c r="BE22" s="56">
        <f t="shared" si="37"/>
        <v>36.254823877108315</v>
      </c>
      <c r="BF22" s="62">
        <f t="shared" si="38"/>
        <v>36</v>
      </c>
      <c r="BG22" s="60">
        <f t="shared" si="39"/>
        <v>15</v>
      </c>
      <c r="BH22" s="63">
        <f t="shared" si="40"/>
        <v>17.365957589933601</v>
      </c>
      <c r="BI22" s="64">
        <f t="shared" si="41"/>
        <v>5143373.1390186641</v>
      </c>
      <c r="BJ22" s="65">
        <f t="shared" si="42"/>
        <v>3771943.1014487948</v>
      </c>
      <c r="BK22" s="66">
        <f t="shared" si="43"/>
        <v>12890.021538123134</v>
      </c>
      <c r="BL22" s="55">
        <f t="shared" si="2"/>
        <v>23.92</v>
      </c>
      <c r="BM22" s="6">
        <f t="shared" si="2"/>
        <v>-141.27000000000001</v>
      </c>
      <c r="BN22" s="6">
        <f t="shared" si="2"/>
        <v>-80.900000000000006</v>
      </c>
      <c r="BO22" s="6">
        <f t="shared" si="2"/>
        <v>0</v>
      </c>
      <c r="BP22" s="6">
        <f t="shared" si="2"/>
        <v>-0.35</v>
      </c>
      <c r="BQ22" s="6">
        <f t="shared" si="2"/>
        <v>-0.82</v>
      </c>
      <c r="BR22" s="6">
        <f t="shared" si="3"/>
        <v>0</v>
      </c>
      <c r="BS22" s="6">
        <f t="shared" si="3"/>
        <v>-1.6968478838833759E-6</v>
      </c>
      <c r="BT22" s="6">
        <f t="shared" si="3"/>
        <v>-3.9754721850981945E-6</v>
      </c>
      <c r="BU22" s="67">
        <f t="shared" si="44"/>
        <v>-0.22</v>
      </c>
      <c r="BV22" s="59">
        <f t="shared" si="45"/>
        <v>5143380.9540973902</v>
      </c>
      <c r="BW22" s="60">
        <f t="shared" si="46"/>
        <v>3771821.4489536658</v>
      </c>
      <c r="BX22" s="68">
        <f t="shared" si="47"/>
        <v>12800.391182411484</v>
      </c>
      <c r="BY22" s="55">
        <f t="shared" si="4"/>
        <v>23.92</v>
      </c>
      <c r="BZ22" s="6">
        <f t="shared" si="4"/>
        <v>-141.27000000000001</v>
      </c>
      <c r="CA22" s="6">
        <f t="shared" si="4"/>
        <v>-80.900000000000006</v>
      </c>
      <c r="CB22" s="6">
        <f t="shared" si="4"/>
        <v>0</v>
      </c>
      <c r="CC22" s="6">
        <f t="shared" si="4"/>
        <v>-0.35</v>
      </c>
      <c r="CD22" s="6">
        <f t="shared" si="4"/>
        <v>-0.82</v>
      </c>
      <c r="CE22" s="6">
        <f t="shared" si="5"/>
        <v>0</v>
      </c>
      <c r="CF22" s="6">
        <f t="shared" si="5"/>
        <v>-1.6968478838833759E-6</v>
      </c>
      <c r="CG22" s="6">
        <f t="shared" si="5"/>
        <v>-3.9754721850981945E-6</v>
      </c>
      <c r="CH22" s="67">
        <f t="shared" si="48"/>
        <v>-0.22</v>
      </c>
      <c r="CI22" s="64">
        <f t="shared" si="49"/>
        <v>5143373.1386954347</v>
      </c>
      <c r="CJ22" s="65">
        <f t="shared" si="50"/>
        <v>3771943.1013819654</v>
      </c>
      <c r="CK22" s="66">
        <f t="shared" si="51"/>
        <v>12890.021535505568</v>
      </c>
      <c r="CL22" s="69">
        <f t="shared" si="52"/>
        <v>6378231.8869665386</v>
      </c>
      <c r="CM22" s="6">
        <f t="shared" si="53"/>
        <v>6378245</v>
      </c>
      <c r="CN22" s="6">
        <f t="shared" si="53"/>
        <v>3.352329869259135E-3</v>
      </c>
      <c r="CO22" s="9">
        <f t="shared" si="54"/>
        <v>6.6934216229659433E-3</v>
      </c>
      <c r="CP22" s="9">
        <f t="shared" si="55"/>
        <v>6378244.911930861</v>
      </c>
      <c r="CQ22" s="9">
        <f t="shared" si="56"/>
        <v>2.0209368702047577E-3</v>
      </c>
      <c r="CR22" s="9">
        <f t="shared" si="57"/>
        <v>3.3467108576934797E-3</v>
      </c>
      <c r="CS22" s="9">
        <f t="shared" ca="1" si="58"/>
        <v>1.3618097007062995E-5</v>
      </c>
      <c r="CT22" s="9">
        <f t="shared" ca="1" si="59"/>
        <v>2.0345549672118207E-3</v>
      </c>
      <c r="CU22" s="46">
        <f t="shared" ca="1" si="6"/>
        <v>1.3618097007062995E-5</v>
      </c>
      <c r="CV22" s="70">
        <f t="shared" ca="1" si="60"/>
        <v>0</v>
      </c>
      <c r="CW22" s="71">
        <f t="shared" ca="1" si="61"/>
        <v>2.0345549672118207E-3</v>
      </c>
      <c r="CX22" s="59">
        <f t="shared" ca="1" si="62"/>
        <v>0</v>
      </c>
      <c r="CY22" s="60">
        <f t="shared" ca="1" si="63"/>
        <v>6</v>
      </c>
      <c r="CZ22" s="61">
        <f t="shared" ca="1" si="64"/>
        <v>59.6571</v>
      </c>
      <c r="DA22" s="9">
        <f t="shared" ca="1" si="65"/>
        <v>0.11657141280861491</v>
      </c>
      <c r="DB22" s="9">
        <f t="shared" si="66"/>
        <v>0.63276604640771628</v>
      </c>
      <c r="DC22" s="9">
        <f t="shared" si="67"/>
        <v>0</v>
      </c>
      <c r="DD22" s="9">
        <f t="shared" si="68"/>
        <v>0.63276604640771628</v>
      </c>
      <c r="DE22" s="60">
        <f t="shared" si="69"/>
        <v>36</v>
      </c>
      <c r="DF22" s="60">
        <f t="shared" si="70"/>
        <v>15</v>
      </c>
      <c r="DG22" s="61">
        <f t="shared" si="71"/>
        <v>17.366</v>
      </c>
      <c r="DH22" s="9">
        <f t="shared" si="72"/>
        <v>36.254823878341327</v>
      </c>
      <c r="DI22" s="66">
        <f t="shared" ca="1" si="73"/>
        <v>-3.001755103468895E-4</v>
      </c>
      <c r="DJ22" s="55">
        <f t="shared" si="74"/>
        <v>39</v>
      </c>
      <c r="DK22" s="6">
        <f t="shared" si="75"/>
        <v>-4.7912361870072265E-2</v>
      </c>
      <c r="DL22" s="6">
        <f t="shared" si="76"/>
        <v>6356863.0187730473</v>
      </c>
      <c r="DM22" s="6">
        <f t="shared" si="77"/>
        <v>6.7385254146834087E-3</v>
      </c>
      <c r="DN22" s="72">
        <f t="shared" ca="1" si="78"/>
        <v>6.7384975211760307E-3</v>
      </c>
      <c r="DO22" s="73">
        <f t="shared" ca="1" si="79"/>
        <v>6378245.0883603953</v>
      </c>
      <c r="DP22" s="6">
        <f t="shared" si="80"/>
        <v>1.0050517725429551</v>
      </c>
      <c r="DQ22" s="6">
        <f t="shared" si="81"/>
        <v>-2.5311877419908228E-3</v>
      </c>
      <c r="DR22" s="6">
        <f t="shared" si="82"/>
        <v>2.6558601241364054E-6</v>
      </c>
      <c r="DS22" s="6">
        <f t="shared" si="83"/>
        <v>-3.4165783147131439E-9</v>
      </c>
      <c r="DT22" s="6">
        <f t="shared" si="7"/>
        <v>7</v>
      </c>
      <c r="DU22" s="6">
        <f t="shared" si="7"/>
        <v>0</v>
      </c>
      <c r="DV22" s="6">
        <f t="shared" si="7"/>
        <v>500000</v>
      </c>
      <c r="DW22" s="6">
        <f t="shared" si="7"/>
        <v>1</v>
      </c>
      <c r="DX22" s="74">
        <f t="shared" ca="1" si="84"/>
        <v>12890.030428976437</v>
      </c>
      <c r="DY22" s="58">
        <f t="shared" ca="1" si="85"/>
        <v>-305713.93034284032</v>
      </c>
      <c r="DZ22" s="64">
        <f t="shared" ca="1" si="86"/>
        <v>12904.939659140397</v>
      </c>
      <c r="EA22" s="66">
        <f t="shared" ca="1" si="87"/>
        <v>7194286.06965716</v>
      </c>
    </row>
    <row r="23" spans="1:135" x14ac:dyDescent="0.25">
      <c r="A23" s="4">
        <v>16</v>
      </c>
      <c r="B23" s="4"/>
      <c r="C23" s="20"/>
      <c r="D23" s="21"/>
      <c r="E23" s="20"/>
      <c r="F23" s="20"/>
      <c r="G23" s="20"/>
      <c r="H23" s="22"/>
      <c r="I23" s="22"/>
      <c r="J23" s="22"/>
      <c r="K23" s="23"/>
      <c r="L23" s="22"/>
      <c r="M23" s="4"/>
      <c r="N23" s="24"/>
      <c r="O23" s="4"/>
      <c r="P23" s="4"/>
      <c r="Q23" s="20"/>
      <c r="R23" s="4"/>
      <c r="T23" s="53">
        <v>16</v>
      </c>
      <c r="U23" s="26"/>
      <c r="V23" s="26"/>
      <c r="W23" s="54"/>
      <c r="X23" s="55">
        <f t="shared" si="1"/>
        <v>1</v>
      </c>
      <c r="Y23" s="6">
        <f t="shared" si="1"/>
        <v>-12900</v>
      </c>
      <c r="Z23" s="6">
        <f t="shared" si="1"/>
        <v>250000</v>
      </c>
      <c r="AA23" s="6">
        <f t="shared" si="10"/>
        <v>0</v>
      </c>
      <c r="AB23" s="30">
        <f t="shared" si="8"/>
        <v>12900</v>
      </c>
      <c r="AC23" s="30">
        <f t="shared" si="9"/>
        <v>-250000</v>
      </c>
      <c r="AD23" s="6">
        <f t="shared" si="11"/>
        <v>38.5</v>
      </c>
      <c r="AE23" s="6">
        <f t="shared" si="11"/>
        <v>6378245</v>
      </c>
      <c r="AF23" s="6">
        <f t="shared" si="12"/>
        <v>6356863.0187730473</v>
      </c>
      <c r="AG23" s="6">
        <f t="shared" si="13"/>
        <v>3.352329869259135E-3</v>
      </c>
      <c r="AH23" s="8">
        <f t="shared" si="14"/>
        <v>6.6934216229658618E-3</v>
      </c>
      <c r="AI23" s="56">
        <f t="shared" si="15"/>
        <v>6.7385254146834087E-3</v>
      </c>
      <c r="AJ23" s="57">
        <f t="shared" si="16"/>
        <v>6378245.0883603953</v>
      </c>
      <c r="AK23" s="8">
        <f t="shared" si="17"/>
        <v>2.0361285582720838E-3</v>
      </c>
      <c r="AL23" s="8">
        <f t="shared" si="18"/>
        <v>6367558.4882606138</v>
      </c>
      <c r="AM23" s="8">
        <f t="shared" si="19"/>
        <v>16036.473376007938</v>
      </c>
      <c r="AN23" s="8">
        <f t="shared" si="20"/>
        <v>16.826341825445081</v>
      </c>
      <c r="AO23" s="8">
        <f t="shared" si="21"/>
        <v>2.1689203848674052E-2</v>
      </c>
      <c r="AP23" s="8">
        <f t="shared" si="22"/>
        <v>1.5704606433433228E-7</v>
      </c>
      <c r="AQ23" s="8">
        <f t="shared" si="23"/>
        <v>2.5184636976839014E-3</v>
      </c>
      <c r="AR23" s="8">
        <f t="shared" si="24"/>
        <v>3.70015534400603E-6</v>
      </c>
      <c r="AS23" s="8">
        <f t="shared" si="25"/>
        <v>7.4016654475384287E-9</v>
      </c>
      <c r="AT23" s="8">
        <f t="shared" si="26"/>
        <v>6378245.0884971283</v>
      </c>
      <c r="AU23" s="8">
        <f t="shared" si="27"/>
        <v>8.2088351658514316E-2</v>
      </c>
      <c r="AV23" s="8">
        <f t="shared" si="28"/>
        <v>2.0361313720839145E-3</v>
      </c>
      <c r="AW23" s="8">
        <f t="shared" si="29"/>
        <v>1.0067384974780118</v>
      </c>
      <c r="AX23" s="58">
        <f t="shared" si="30"/>
        <v>2.0345549675285794E-3</v>
      </c>
      <c r="AY23" s="59">
        <f t="shared" si="31"/>
        <v>0</v>
      </c>
      <c r="AZ23" s="60">
        <f t="shared" si="32"/>
        <v>6</v>
      </c>
      <c r="BA23" s="61">
        <f t="shared" si="33"/>
        <v>59.657086176349864</v>
      </c>
      <c r="BB23" s="56">
        <f t="shared" si="34"/>
        <v>0.11657141282676385</v>
      </c>
      <c r="BC23" s="56">
        <f t="shared" si="35"/>
        <v>-3.9185715631620689E-2</v>
      </c>
      <c r="BD23" s="56">
        <f t="shared" si="36"/>
        <v>0.63276604638619627</v>
      </c>
      <c r="BE23" s="56">
        <f t="shared" si="37"/>
        <v>36.254823877108315</v>
      </c>
      <c r="BF23" s="62">
        <f t="shared" si="38"/>
        <v>36</v>
      </c>
      <c r="BG23" s="60">
        <f t="shared" si="39"/>
        <v>15</v>
      </c>
      <c r="BH23" s="63">
        <f t="shared" si="40"/>
        <v>17.365957589933601</v>
      </c>
      <c r="BI23" s="64">
        <f t="shared" si="41"/>
        <v>5143373.1390186641</v>
      </c>
      <c r="BJ23" s="65">
        <f t="shared" si="42"/>
        <v>3771943.1014487948</v>
      </c>
      <c r="BK23" s="66">
        <f t="shared" si="43"/>
        <v>12890.021538123134</v>
      </c>
      <c r="BL23" s="55">
        <f t="shared" si="2"/>
        <v>23.92</v>
      </c>
      <c r="BM23" s="6">
        <f t="shared" si="2"/>
        <v>-141.27000000000001</v>
      </c>
      <c r="BN23" s="6">
        <f t="shared" si="2"/>
        <v>-80.900000000000006</v>
      </c>
      <c r="BO23" s="6">
        <f t="shared" si="2"/>
        <v>0</v>
      </c>
      <c r="BP23" s="6">
        <f t="shared" si="2"/>
        <v>-0.35</v>
      </c>
      <c r="BQ23" s="6">
        <f t="shared" si="2"/>
        <v>-0.82</v>
      </c>
      <c r="BR23" s="6">
        <f t="shared" si="3"/>
        <v>0</v>
      </c>
      <c r="BS23" s="6">
        <f t="shared" si="3"/>
        <v>-1.6968478838833759E-6</v>
      </c>
      <c r="BT23" s="6">
        <f t="shared" si="3"/>
        <v>-3.9754721850981945E-6</v>
      </c>
      <c r="BU23" s="67">
        <f t="shared" si="44"/>
        <v>-0.22</v>
      </c>
      <c r="BV23" s="59">
        <f t="shared" si="45"/>
        <v>5143380.9540973902</v>
      </c>
      <c r="BW23" s="60">
        <f t="shared" si="46"/>
        <v>3771821.4489536658</v>
      </c>
      <c r="BX23" s="68">
        <f t="shared" si="47"/>
        <v>12800.391182411484</v>
      </c>
      <c r="BY23" s="55">
        <f t="shared" si="4"/>
        <v>23.92</v>
      </c>
      <c r="BZ23" s="6">
        <f t="shared" si="4"/>
        <v>-141.27000000000001</v>
      </c>
      <c r="CA23" s="6">
        <f t="shared" si="4"/>
        <v>-80.900000000000006</v>
      </c>
      <c r="CB23" s="6">
        <f t="shared" si="4"/>
        <v>0</v>
      </c>
      <c r="CC23" s="6">
        <f t="shared" si="4"/>
        <v>-0.35</v>
      </c>
      <c r="CD23" s="6">
        <f t="shared" si="4"/>
        <v>-0.82</v>
      </c>
      <c r="CE23" s="6">
        <f t="shared" si="5"/>
        <v>0</v>
      </c>
      <c r="CF23" s="6">
        <f t="shared" si="5"/>
        <v>-1.6968478838833759E-6</v>
      </c>
      <c r="CG23" s="6">
        <f t="shared" si="5"/>
        <v>-3.9754721850981945E-6</v>
      </c>
      <c r="CH23" s="67">
        <f t="shared" si="48"/>
        <v>-0.22</v>
      </c>
      <c r="CI23" s="64">
        <f t="shared" si="49"/>
        <v>5143373.1386954347</v>
      </c>
      <c r="CJ23" s="65">
        <f t="shared" si="50"/>
        <v>3771943.1013819654</v>
      </c>
      <c r="CK23" s="66">
        <f t="shared" si="51"/>
        <v>12890.021535505568</v>
      </c>
      <c r="CL23" s="69">
        <f t="shared" si="52"/>
        <v>6378231.8869665386</v>
      </c>
      <c r="CM23" s="6">
        <f t="shared" si="53"/>
        <v>6378245</v>
      </c>
      <c r="CN23" s="6">
        <f t="shared" si="53"/>
        <v>3.352329869259135E-3</v>
      </c>
      <c r="CO23" s="9">
        <f t="shared" si="54"/>
        <v>6.6934216229659433E-3</v>
      </c>
      <c r="CP23" s="9">
        <f t="shared" si="55"/>
        <v>6378244.911930861</v>
      </c>
      <c r="CQ23" s="9">
        <f t="shared" si="56"/>
        <v>2.0209368702047577E-3</v>
      </c>
      <c r="CR23" s="9">
        <f t="shared" si="57"/>
        <v>3.3467108576934797E-3</v>
      </c>
      <c r="CS23" s="9">
        <f t="shared" ca="1" si="58"/>
        <v>1.3618097007062995E-5</v>
      </c>
      <c r="CT23" s="9">
        <f t="shared" ca="1" si="59"/>
        <v>2.0345549672118207E-3</v>
      </c>
      <c r="CU23" s="46">
        <f t="shared" ca="1" si="6"/>
        <v>1.3618097007062995E-5</v>
      </c>
      <c r="CV23" s="70">
        <f t="shared" ca="1" si="60"/>
        <v>0</v>
      </c>
      <c r="CW23" s="71">
        <f t="shared" ca="1" si="61"/>
        <v>2.0345549672118207E-3</v>
      </c>
      <c r="CX23" s="59">
        <f t="shared" ca="1" si="62"/>
        <v>0</v>
      </c>
      <c r="CY23" s="60">
        <f t="shared" ca="1" si="63"/>
        <v>6</v>
      </c>
      <c r="CZ23" s="61">
        <f t="shared" ca="1" si="64"/>
        <v>59.6571</v>
      </c>
      <c r="DA23" s="9">
        <f t="shared" ca="1" si="65"/>
        <v>0.11657141280861491</v>
      </c>
      <c r="DB23" s="9">
        <f t="shared" si="66"/>
        <v>0.63276604640771628</v>
      </c>
      <c r="DC23" s="9">
        <f t="shared" si="67"/>
        <v>0</v>
      </c>
      <c r="DD23" s="9">
        <f t="shared" si="68"/>
        <v>0.63276604640771628</v>
      </c>
      <c r="DE23" s="60">
        <f t="shared" si="69"/>
        <v>36</v>
      </c>
      <c r="DF23" s="60">
        <f t="shared" si="70"/>
        <v>15</v>
      </c>
      <c r="DG23" s="61">
        <f t="shared" si="71"/>
        <v>17.366</v>
      </c>
      <c r="DH23" s="9">
        <f t="shared" si="72"/>
        <v>36.254823878341327</v>
      </c>
      <c r="DI23" s="66">
        <f t="shared" ca="1" si="73"/>
        <v>-3.001755103468895E-4</v>
      </c>
      <c r="DJ23" s="55">
        <f t="shared" si="74"/>
        <v>39</v>
      </c>
      <c r="DK23" s="6">
        <f t="shared" si="75"/>
        <v>-4.7912361870072265E-2</v>
      </c>
      <c r="DL23" s="6">
        <f t="shared" si="76"/>
        <v>6356863.0187730473</v>
      </c>
      <c r="DM23" s="6">
        <f t="shared" si="77"/>
        <v>6.7385254146834087E-3</v>
      </c>
      <c r="DN23" s="72">
        <f t="shared" ca="1" si="78"/>
        <v>6.7384975211760307E-3</v>
      </c>
      <c r="DO23" s="73">
        <f t="shared" ca="1" si="79"/>
        <v>6378245.0883603953</v>
      </c>
      <c r="DP23" s="6">
        <f t="shared" si="80"/>
        <v>1.0050517725429551</v>
      </c>
      <c r="DQ23" s="6">
        <f t="shared" si="81"/>
        <v>-2.5311877419908228E-3</v>
      </c>
      <c r="DR23" s="6">
        <f t="shared" si="82"/>
        <v>2.6558601241364054E-6</v>
      </c>
      <c r="DS23" s="6">
        <f t="shared" si="83"/>
        <v>-3.4165783147131439E-9</v>
      </c>
      <c r="DT23" s="6">
        <f t="shared" si="7"/>
        <v>7</v>
      </c>
      <c r="DU23" s="6">
        <f t="shared" si="7"/>
        <v>0</v>
      </c>
      <c r="DV23" s="6">
        <f t="shared" si="7"/>
        <v>500000</v>
      </c>
      <c r="DW23" s="6">
        <f t="shared" si="7"/>
        <v>1</v>
      </c>
      <c r="DX23" s="74">
        <f t="shared" ca="1" si="84"/>
        <v>12890.030428976437</v>
      </c>
      <c r="DY23" s="58">
        <f t="shared" ca="1" si="85"/>
        <v>-305713.93034284032</v>
      </c>
      <c r="DZ23" s="64">
        <f t="shared" ca="1" si="86"/>
        <v>12904.939659140397</v>
      </c>
      <c r="EA23" s="66">
        <f t="shared" ca="1" si="87"/>
        <v>7194286.06965716</v>
      </c>
    </row>
    <row r="24" spans="1:135" x14ac:dyDescent="0.25">
      <c r="A24" s="4">
        <v>17</v>
      </c>
      <c r="B24" s="4"/>
      <c r="C24" s="20"/>
      <c r="D24" s="21"/>
      <c r="E24" s="20"/>
      <c r="F24" s="20"/>
      <c r="G24" s="20"/>
      <c r="H24" s="22"/>
      <c r="I24" s="22"/>
      <c r="J24" s="22"/>
      <c r="K24" s="23"/>
      <c r="L24" s="22"/>
      <c r="M24" s="4"/>
      <c r="N24" s="24"/>
      <c r="O24" s="4"/>
      <c r="P24" s="4"/>
      <c r="Q24" s="20"/>
      <c r="R24" s="4"/>
      <c r="T24" s="53">
        <v>17</v>
      </c>
      <c r="U24" s="26"/>
      <c r="V24" s="26"/>
      <c r="W24" s="54"/>
      <c r="X24" s="55">
        <f t="shared" ref="X24:Z64" si="88">X$5</f>
        <v>1</v>
      </c>
      <c r="Y24" s="6">
        <f t="shared" si="88"/>
        <v>-12900</v>
      </c>
      <c r="Z24" s="6">
        <f t="shared" si="88"/>
        <v>250000</v>
      </c>
      <c r="AA24" s="6">
        <f t="shared" si="10"/>
        <v>0</v>
      </c>
      <c r="AB24" s="30">
        <f t="shared" si="8"/>
        <v>12900</v>
      </c>
      <c r="AC24" s="30">
        <f t="shared" si="9"/>
        <v>-250000</v>
      </c>
      <c r="AD24" s="6">
        <f t="shared" si="11"/>
        <v>38.5</v>
      </c>
      <c r="AE24" s="6">
        <f t="shared" si="11"/>
        <v>6378245</v>
      </c>
      <c r="AF24" s="6">
        <f t="shared" si="12"/>
        <v>6356863.0187730473</v>
      </c>
      <c r="AG24" s="6">
        <f t="shared" si="13"/>
        <v>3.352329869259135E-3</v>
      </c>
      <c r="AH24" s="8">
        <f t="shared" si="14"/>
        <v>6.6934216229658618E-3</v>
      </c>
      <c r="AI24" s="56">
        <f t="shared" si="15"/>
        <v>6.7385254146834087E-3</v>
      </c>
      <c r="AJ24" s="57">
        <f t="shared" si="16"/>
        <v>6378245.0883603953</v>
      </c>
      <c r="AK24" s="8">
        <f t="shared" si="17"/>
        <v>2.0361285582720838E-3</v>
      </c>
      <c r="AL24" s="8">
        <f t="shared" si="18"/>
        <v>6367558.4882606138</v>
      </c>
      <c r="AM24" s="8">
        <f t="shared" si="19"/>
        <v>16036.473376007938</v>
      </c>
      <c r="AN24" s="8">
        <f t="shared" si="20"/>
        <v>16.826341825445081</v>
      </c>
      <c r="AO24" s="8">
        <f t="shared" si="21"/>
        <v>2.1689203848674052E-2</v>
      </c>
      <c r="AP24" s="8">
        <f t="shared" si="22"/>
        <v>1.5704606433433228E-7</v>
      </c>
      <c r="AQ24" s="8">
        <f t="shared" si="23"/>
        <v>2.5184636976839014E-3</v>
      </c>
      <c r="AR24" s="8">
        <f t="shared" si="24"/>
        <v>3.70015534400603E-6</v>
      </c>
      <c r="AS24" s="8">
        <f t="shared" si="25"/>
        <v>7.4016654475384287E-9</v>
      </c>
      <c r="AT24" s="8">
        <f t="shared" si="26"/>
        <v>6378245.0884971283</v>
      </c>
      <c r="AU24" s="8">
        <f t="shared" si="27"/>
        <v>8.2088351658514316E-2</v>
      </c>
      <c r="AV24" s="8">
        <f t="shared" si="28"/>
        <v>2.0361313720839145E-3</v>
      </c>
      <c r="AW24" s="8">
        <f t="shared" si="29"/>
        <v>1.0067384974780118</v>
      </c>
      <c r="AX24" s="58">
        <f t="shared" si="30"/>
        <v>2.0345549675285794E-3</v>
      </c>
      <c r="AY24" s="59">
        <f t="shared" si="31"/>
        <v>0</v>
      </c>
      <c r="AZ24" s="60">
        <f t="shared" si="32"/>
        <v>6</v>
      </c>
      <c r="BA24" s="61">
        <f t="shared" si="33"/>
        <v>59.657086176349864</v>
      </c>
      <c r="BB24" s="56">
        <f t="shared" si="34"/>
        <v>0.11657141282676385</v>
      </c>
      <c r="BC24" s="56">
        <f t="shared" si="35"/>
        <v>-3.9185715631620689E-2</v>
      </c>
      <c r="BD24" s="56">
        <f t="shared" si="36"/>
        <v>0.63276604638619627</v>
      </c>
      <c r="BE24" s="56">
        <f t="shared" si="37"/>
        <v>36.254823877108315</v>
      </c>
      <c r="BF24" s="62">
        <f t="shared" si="38"/>
        <v>36</v>
      </c>
      <c r="BG24" s="60">
        <f t="shared" si="39"/>
        <v>15</v>
      </c>
      <c r="BH24" s="63">
        <f t="shared" si="40"/>
        <v>17.365957589933601</v>
      </c>
      <c r="BI24" s="64">
        <f t="shared" si="41"/>
        <v>5143373.1390186641</v>
      </c>
      <c r="BJ24" s="65">
        <f t="shared" si="42"/>
        <v>3771943.1014487948</v>
      </c>
      <c r="BK24" s="66">
        <f t="shared" si="43"/>
        <v>12890.021538123134</v>
      </c>
      <c r="BL24" s="55">
        <f t="shared" ref="BL24:BQ64" si="89">BL$5</f>
        <v>23.92</v>
      </c>
      <c r="BM24" s="6">
        <f t="shared" si="89"/>
        <v>-141.27000000000001</v>
      </c>
      <c r="BN24" s="6">
        <f t="shared" si="89"/>
        <v>-80.900000000000006</v>
      </c>
      <c r="BO24" s="6">
        <f t="shared" si="89"/>
        <v>0</v>
      </c>
      <c r="BP24" s="6">
        <f t="shared" si="89"/>
        <v>-0.35</v>
      </c>
      <c r="BQ24" s="6">
        <f t="shared" si="89"/>
        <v>-0.82</v>
      </c>
      <c r="BR24" s="6">
        <f t="shared" ref="BR24:BT64" si="90">RADIANS(BO24/3600)</f>
        <v>0</v>
      </c>
      <c r="BS24" s="6">
        <f t="shared" si="90"/>
        <v>-1.6968478838833759E-6</v>
      </c>
      <c r="BT24" s="6">
        <f t="shared" si="90"/>
        <v>-3.9754721850981945E-6</v>
      </c>
      <c r="BU24" s="67">
        <f t="shared" si="44"/>
        <v>-0.22</v>
      </c>
      <c r="BV24" s="59">
        <f t="shared" si="45"/>
        <v>5143380.9540973902</v>
      </c>
      <c r="BW24" s="60">
        <f t="shared" si="46"/>
        <v>3771821.4489536658</v>
      </c>
      <c r="BX24" s="68">
        <f t="shared" si="47"/>
        <v>12800.391182411484</v>
      </c>
      <c r="BY24" s="55">
        <f t="shared" ref="BY24:CD64" si="91">BY$5</f>
        <v>23.92</v>
      </c>
      <c r="BZ24" s="6">
        <f t="shared" si="91"/>
        <v>-141.27000000000001</v>
      </c>
      <c r="CA24" s="6">
        <f t="shared" si="91"/>
        <v>-80.900000000000006</v>
      </c>
      <c r="CB24" s="6">
        <f t="shared" si="91"/>
        <v>0</v>
      </c>
      <c r="CC24" s="6">
        <f t="shared" si="91"/>
        <v>-0.35</v>
      </c>
      <c r="CD24" s="6">
        <f t="shared" si="91"/>
        <v>-0.82</v>
      </c>
      <c r="CE24" s="6">
        <f t="shared" ref="CE24:CG64" si="92">RADIANS(CB24/3600)</f>
        <v>0</v>
      </c>
      <c r="CF24" s="6">
        <f t="shared" si="92"/>
        <v>-1.6968478838833759E-6</v>
      </c>
      <c r="CG24" s="6">
        <f t="shared" si="92"/>
        <v>-3.9754721850981945E-6</v>
      </c>
      <c r="CH24" s="67">
        <f t="shared" si="48"/>
        <v>-0.22</v>
      </c>
      <c r="CI24" s="64">
        <f t="shared" si="49"/>
        <v>5143373.1386954347</v>
      </c>
      <c r="CJ24" s="65">
        <f t="shared" si="50"/>
        <v>3771943.1013819654</v>
      </c>
      <c r="CK24" s="66">
        <f t="shared" si="51"/>
        <v>12890.021535505568</v>
      </c>
      <c r="CL24" s="69">
        <f t="shared" si="52"/>
        <v>6378231.8869665386</v>
      </c>
      <c r="CM24" s="6">
        <f t="shared" si="53"/>
        <v>6378245</v>
      </c>
      <c r="CN24" s="6">
        <f t="shared" si="53"/>
        <v>3.352329869259135E-3</v>
      </c>
      <c r="CO24" s="9">
        <f t="shared" si="54"/>
        <v>6.6934216229659433E-3</v>
      </c>
      <c r="CP24" s="9">
        <f t="shared" si="55"/>
        <v>6378244.911930861</v>
      </c>
      <c r="CQ24" s="9">
        <f t="shared" si="56"/>
        <v>2.0209368702047577E-3</v>
      </c>
      <c r="CR24" s="9">
        <f t="shared" si="57"/>
        <v>3.3467108576934797E-3</v>
      </c>
      <c r="CS24" s="9">
        <f t="shared" ca="1" si="58"/>
        <v>1.3618097007062995E-5</v>
      </c>
      <c r="CT24" s="9">
        <f t="shared" ca="1" si="59"/>
        <v>2.0345549672118207E-3</v>
      </c>
      <c r="CU24" s="46">
        <f t="shared" ca="1" si="6"/>
        <v>1.3618097007062995E-5</v>
      </c>
      <c r="CV24" s="70">
        <f t="shared" ca="1" si="60"/>
        <v>0</v>
      </c>
      <c r="CW24" s="71">
        <f t="shared" ca="1" si="61"/>
        <v>2.0345549672118207E-3</v>
      </c>
      <c r="CX24" s="59">
        <f t="shared" ca="1" si="62"/>
        <v>0</v>
      </c>
      <c r="CY24" s="60">
        <f t="shared" ca="1" si="63"/>
        <v>6</v>
      </c>
      <c r="CZ24" s="61">
        <f t="shared" ca="1" si="64"/>
        <v>59.6571</v>
      </c>
      <c r="DA24" s="9">
        <f t="shared" ca="1" si="65"/>
        <v>0.11657141280861491</v>
      </c>
      <c r="DB24" s="9">
        <f t="shared" si="66"/>
        <v>0.63276604640771628</v>
      </c>
      <c r="DC24" s="9">
        <f t="shared" si="67"/>
        <v>0</v>
      </c>
      <c r="DD24" s="9">
        <f t="shared" si="68"/>
        <v>0.63276604640771628</v>
      </c>
      <c r="DE24" s="60">
        <f t="shared" si="69"/>
        <v>36</v>
      </c>
      <c r="DF24" s="60">
        <f t="shared" si="70"/>
        <v>15</v>
      </c>
      <c r="DG24" s="61">
        <f t="shared" si="71"/>
        <v>17.366</v>
      </c>
      <c r="DH24" s="9">
        <f t="shared" si="72"/>
        <v>36.254823878341327</v>
      </c>
      <c r="DI24" s="66">
        <f t="shared" ca="1" si="73"/>
        <v>-3.001755103468895E-4</v>
      </c>
      <c r="DJ24" s="55">
        <f t="shared" si="74"/>
        <v>39</v>
      </c>
      <c r="DK24" s="6">
        <f t="shared" si="75"/>
        <v>-4.7912361870072265E-2</v>
      </c>
      <c r="DL24" s="6">
        <f t="shared" si="76"/>
        <v>6356863.0187730473</v>
      </c>
      <c r="DM24" s="6">
        <f t="shared" si="77"/>
        <v>6.7385254146834087E-3</v>
      </c>
      <c r="DN24" s="72">
        <f t="shared" ca="1" si="78"/>
        <v>6.7384975211760307E-3</v>
      </c>
      <c r="DO24" s="73">
        <f t="shared" ca="1" si="79"/>
        <v>6378245.0883603953</v>
      </c>
      <c r="DP24" s="6">
        <f t="shared" si="80"/>
        <v>1.0050517725429551</v>
      </c>
      <c r="DQ24" s="6">
        <f t="shared" si="81"/>
        <v>-2.5311877419908228E-3</v>
      </c>
      <c r="DR24" s="6">
        <f t="shared" si="82"/>
        <v>2.6558601241364054E-6</v>
      </c>
      <c r="DS24" s="6">
        <f t="shared" si="83"/>
        <v>-3.4165783147131439E-9</v>
      </c>
      <c r="DT24" s="6">
        <f t="shared" ref="DT24:DW64" si="93">DT$5</f>
        <v>7</v>
      </c>
      <c r="DU24" s="6">
        <f t="shared" si="93"/>
        <v>0</v>
      </c>
      <c r="DV24" s="6">
        <f t="shared" si="93"/>
        <v>500000</v>
      </c>
      <c r="DW24" s="6">
        <f t="shared" si="93"/>
        <v>1</v>
      </c>
      <c r="DX24" s="74">
        <f t="shared" ca="1" si="84"/>
        <v>12890.030428976437</v>
      </c>
      <c r="DY24" s="58">
        <f t="shared" ca="1" si="85"/>
        <v>-305713.93034284032</v>
      </c>
      <c r="DZ24" s="64">
        <f t="shared" ca="1" si="86"/>
        <v>12904.939659140397</v>
      </c>
      <c r="EA24" s="66">
        <f t="shared" ca="1" si="87"/>
        <v>7194286.06965716</v>
      </c>
    </row>
    <row r="25" spans="1:135" x14ac:dyDescent="0.25">
      <c r="A25" s="4">
        <v>18</v>
      </c>
      <c r="B25" s="4"/>
      <c r="C25" s="20"/>
      <c r="D25" s="21"/>
      <c r="E25" s="20"/>
      <c r="F25" s="20"/>
      <c r="G25" s="20"/>
      <c r="H25" s="22"/>
      <c r="I25" s="22"/>
      <c r="J25" s="22"/>
      <c r="K25" s="23"/>
      <c r="L25" s="22"/>
      <c r="M25" s="4"/>
      <c r="N25" s="24"/>
      <c r="O25" s="4"/>
      <c r="P25" s="4"/>
      <c r="Q25" s="20"/>
      <c r="R25" s="4"/>
      <c r="T25" s="53">
        <v>18</v>
      </c>
      <c r="U25" s="26"/>
      <c r="V25" s="26"/>
      <c r="W25" s="54"/>
      <c r="X25" s="55">
        <f t="shared" si="88"/>
        <v>1</v>
      </c>
      <c r="Y25" s="6">
        <f t="shared" si="88"/>
        <v>-12900</v>
      </c>
      <c r="Z25" s="6">
        <f t="shared" si="88"/>
        <v>250000</v>
      </c>
      <c r="AA25" s="6">
        <f t="shared" si="10"/>
        <v>0</v>
      </c>
      <c r="AB25" s="30">
        <f t="shared" si="8"/>
        <v>12900</v>
      </c>
      <c r="AC25" s="30">
        <f t="shared" si="9"/>
        <v>-250000</v>
      </c>
      <c r="AD25" s="6">
        <f t="shared" si="11"/>
        <v>38.5</v>
      </c>
      <c r="AE25" s="6">
        <f t="shared" si="11"/>
        <v>6378245</v>
      </c>
      <c r="AF25" s="6">
        <f t="shared" si="12"/>
        <v>6356863.0187730473</v>
      </c>
      <c r="AG25" s="6">
        <f t="shared" si="13"/>
        <v>3.352329869259135E-3</v>
      </c>
      <c r="AH25" s="8">
        <f t="shared" si="14"/>
        <v>6.6934216229658618E-3</v>
      </c>
      <c r="AI25" s="56">
        <f t="shared" si="15"/>
        <v>6.7385254146834087E-3</v>
      </c>
      <c r="AJ25" s="57">
        <f t="shared" si="16"/>
        <v>6378245.0883603953</v>
      </c>
      <c r="AK25" s="8">
        <f t="shared" si="17"/>
        <v>2.0361285582720838E-3</v>
      </c>
      <c r="AL25" s="8">
        <f t="shared" si="18"/>
        <v>6367558.4882606138</v>
      </c>
      <c r="AM25" s="8">
        <f t="shared" si="19"/>
        <v>16036.473376007938</v>
      </c>
      <c r="AN25" s="8">
        <f t="shared" si="20"/>
        <v>16.826341825445081</v>
      </c>
      <c r="AO25" s="8">
        <f t="shared" si="21"/>
        <v>2.1689203848674052E-2</v>
      </c>
      <c r="AP25" s="8">
        <f t="shared" si="22"/>
        <v>1.5704606433433228E-7</v>
      </c>
      <c r="AQ25" s="8">
        <f t="shared" si="23"/>
        <v>2.5184636976839014E-3</v>
      </c>
      <c r="AR25" s="8">
        <f t="shared" si="24"/>
        <v>3.70015534400603E-6</v>
      </c>
      <c r="AS25" s="8">
        <f t="shared" si="25"/>
        <v>7.4016654475384287E-9</v>
      </c>
      <c r="AT25" s="8">
        <f t="shared" si="26"/>
        <v>6378245.0884971283</v>
      </c>
      <c r="AU25" s="8">
        <f t="shared" si="27"/>
        <v>8.2088351658514316E-2</v>
      </c>
      <c r="AV25" s="8">
        <f t="shared" si="28"/>
        <v>2.0361313720839145E-3</v>
      </c>
      <c r="AW25" s="8">
        <f t="shared" si="29"/>
        <v>1.0067384974780118</v>
      </c>
      <c r="AX25" s="58">
        <f t="shared" si="30"/>
        <v>2.0345549675285794E-3</v>
      </c>
      <c r="AY25" s="59">
        <f t="shared" si="31"/>
        <v>0</v>
      </c>
      <c r="AZ25" s="60">
        <f t="shared" si="32"/>
        <v>6</v>
      </c>
      <c r="BA25" s="61">
        <f t="shared" si="33"/>
        <v>59.657086176349864</v>
      </c>
      <c r="BB25" s="56">
        <f t="shared" si="34"/>
        <v>0.11657141282676385</v>
      </c>
      <c r="BC25" s="56">
        <f t="shared" si="35"/>
        <v>-3.9185715631620689E-2</v>
      </c>
      <c r="BD25" s="56">
        <f t="shared" si="36"/>
        <v>0.63276604638619627</v>
      </c>
      <c r="BE25" s="56">
        <f t="shared" si="37"/>
        <v>36.254823877108315</v>
      </c>
      <c r="BF25" s="62">
        <f t="shared" si="38"/>
        <v>36</v>
      </c>
      <c r="BG25" s="60">
        <f t="shared" si="39"/>
        <v>15</v>
      </c>
      <c r="BH25" s="63">
        <f t="shared" si="40"/>
        <v>17.365957589933601</v>
      </c>
      <c r="BI25" s="64">
        <f t="shared" si="41"/>
        <v>5143373.1390186641</v>
      </c>
      <c r="BJ25" s="65">
        <f t="shared" si="42"/>
        <v>3771943.1014487948</v>
      </c>
      <c r="BK25" s="66">
        <f t="shared" si="43"/>
        <v>12890.021538123134</v>
      </c>
      <c r="BL25" s="55">
        <f t="shared" si="89"/>
        <v>23.92</v>
      </c>
      <c r="BM25" s="6">
        <f t="shared" si="89"/>
        <v>-141.27000000000001</v>
      </c>
      <c r="BN25" s="6">
        <f t="shared" si="89"/>
        <v>-80.900000000000006</v>
      </c>
      <c r="BO25" s="6">
        <f t="shared" si="89"/>
        <v>0</v>
      </c>
      <c r="BP25" s="6">
        <f t="shared" si="89"/>
        <v>-0.35</v>
      </c>
      <c r="BQ25" s="6">
        <f t="shared" si="89"/>
        <v>-0.82</v>
      </c>
      <c r="BR25" s="6">
        <f t="shared" si="90"/>
        <v>0</v>
      </c>
      <c r="BS25" s="6">
        <f t="shared" si="90"/>
        <v>-1.6968478838833759E-6</v>
      </c>
      <c r="BT25" s="6">
        <f t="shared" si="90"/>
        <v>-3.9754721850981945E-6</v>
      </c>
      <c r="BU25" s="67">
        <f t="shared" si="44"/>
        <v>-0.22</v>
      </c>
      <c r="BV25" s="59">
        <f t="shared" si="45"/>
        <v>5143380.9540973902</v>
      </c>
      <c r="BW25" s="60">
        <f t="shared" si="46"/>
        <v>3771821.4489536658</v>
      </c>
      <c r="BX25" s="68">
        <f t="shared" si="47"/>
        <v>12800.391182411484</v>
      </c>
      <c r="BY25" s="55">
        <f t="shared" si="91"/>
        <v>23.92</v>
      </c>
      <c r="BZ25" s="6">
        <f t="shared" si="91"/>
        <v>-141.27000000000001</v>
      </c>
      <c r="CA25" s="6">
        <f t="shared" si="91"/>
        <v>-80.900000000000006</v>
      </c>
      <c r="CB25" s="6">
        <f t="shared" si="91"/>
        <v>0</v>
      </c>
      <c r="CC25" s="6">
        <f t="shared" si="91"/>
        <v>-0.35</v>
      </c>
      <c r="CD25" s="6">
        <f t="shared" si="91"/>
        <v>-0.82</v>
      </c>
      <c r="CE25" s="6">
        <f t="shared" si="92"/>
        <v>0</v>
      </c>
      <c r="CF25" s="6">
        <f t="shared" si="92"/>
        <v>-1.6968478838833759E-6</v>
      </c>
      <c r="CG25" s="6">
        <f t="shared" si="92"/>
        <v>-3.9754721850981945E-6</v>
      </c>
      <c r="CH25" s="67">
        <f t="shared" si="48"/>
        <v>-0.22</v>
      </c>
      <c r="CI25" s="64">
        <f t="shared" si="49"/>
        <v>5143373.1386954347</v>
      </c>
      <c r="CJ25" s="65">
        <f t="shared" si="50"/>
        <v>3771943.1013819654</v>
      </c>
      <c r="CK25" s="66">
        <f t="shared" si="51"/>
        <v>12890.021535505568</v>
      </c>
      <c r="CL25" s="69">
        <f t="shared" si="52"/>
        <v>6378231.8869665386</v>
      </c>
      <c r="CM25" s="6">
        <f t="shared" si="53"/>
        <v>6378245</v>
      </c>
      <c r="CN25" s="6">
        <f t="shared" si="53"/>
        <v>3.352329869259135E-3</v>
      </c>
      <c r="CO25" s="9">
        <f t="shared" si="54"/>
        <v>6.6934216229659433E-3</v>
      </c>
      <c r="CP25" s="9">
        <f t="shared" si="55"/>
        <v>6378244.911930861</v>
      </c>
      <c r="CQ25" s="9">
        <f t="shared" si="56"/>
        <v>2.0209368702047577E-3</v>
      </c>
      <c r="CR25" s="9">
        <f t="shared" si="57"/>
        <v>3.3467108576934797E-3</v>
      </c>
      <c r="CS25" s="9">
        <f t="shared" ca="1" si="58"/>
        <v>1.3618097007062995E-5</v>
      </c>
      <c r="CT25" s="9">
        <f t="shared" ca="1" si="59"/>
        <v>2.0345549672118207E-3</v>
      </c>
      <c r="CU25" s="46">
        <f t="shared" ca="1" si="6"/>
        <v>1.3618097007062995E-5</v>
      </c>
      <c r="CV25" s="70">
        <f t="shared" ca="1" si="60"/>
        <v>0</v>
      </c>
      <c r="CW25" s="71">
        <f t="shared" ca="1" si="61"/>
        <v>2.0345549672118207E-3</v>
      </c>
      <c r="CX25" s="59">
        <f t="shared" ca="1" si="62"/>
        <v>0</v>
      </c>
      <c r="CY25" s="60">
        <f t="shared" ca="1" si="63"/>
        <v>6</v>
      </c>
      <c r="CZ25" s="61">
        <f t="shared" ca="1" si="64"/>
        <v>59.6571</v>
      </c>
      <c r="DA25" s="9">
        <f t="shared" ca="1" si="65"/>
        <v>0.11657141280861491</v>
      </c>
      <c r="DB25" s="9">
        <f t="shared" si="66"/>
        <v>0.63276604640771628</v>
      </c>
      <c r="DC25" s="9">
        <f t="shared" si="67"/>
        <v>0</v>
      </c>
      <c r="DD25" s="9">
        <f t="shared" si="68"/>
        <v>0.63276604640771628</v>
      </c>
      <c r="DE25" s="60">
        <f t="shared" si="69"/>
        <v>36</v>
      </c>
      <c r="DF25" s="60">
        <f t="shared" si="70"/>
        <v>15</v>
      </c>
      <c r="DG25" s="61">
        <f t="shared" si="71"/>
        <v>17.366</v>
      </c>
      <c r="DH25" s="9">
        <f t="shared" si="72"/>
        <v>36.254823878341327</v>
      </c>
      <c r="DI25" s="66">
        <f t="shared" ca="1" si="73"/>
        <v>-3.001755103468895E-4</v>
      </c>
      <c r="DJ25" s="55">
        <f t="shared" si="74"/>
        <v>39</v>
      </c>
      <c r="DK25" s="6">
        <f t="shared" si="75"/>
        <v>-4.7912361870072265E-2</v>
      </c>
      <c r="DL25" s="6">
        <f t="shared" si="76"/>
        <v>6356863.0187730473</v>
      </c>
      <c r="DM25" s="6">
        <f t="shared" si="77"/>
        <v>6.7385254146834087E-3</v>
      </c>
      <c r="DN25" s="72">
        <f t="shared" ca="1" si="78"/>
        <v>6.7384975211760307E-3</v>
      </c>
      <c r="DO25" s="73">
        <f t="shared" ca="1" si="79"/>
        <v>6378245.0883603953</v>
      </c>
      <c r="DP25" s="6">
        <f t="shared" si="80"/>
        <v>1.0050517725429551</v>
      </c>
      <c r="DQ25" s="6">
        <f t="shared" si="81"/>
        <v>-2.5311877419908228E-3</v>
      </c>
      <c r="DR25" s="6">
        <f t="shared" si="82"/>
        <v>2.6558601241364054E-6</v>
      </c>
      <c r="DS25" s="6">
        <f t="shared" si="83"/>
        <v>-3.4165783147131439E-9</v>
      </c>
      <c r="DT25" s="6">
        <f t="shared" si="93"/>
        <v>7</v>
      </c>
      <c r="DU25" s="6">
        <f t="shared" si="93"/>
        <v>0</v>
      </c>
      <c r="DV25" s="6">
        <f t="shared" si="93"/>
        <v>500000</v>
      </c>
      <c r="DW25" s="6">
        <f t="shared" si="93"/>
        <v>1</v>
      </c>
      <c r="DX25" s="74">
        <f t="shared" ca="1" si="84"/>
        <v>12890.030428976437</v>
      </c>
      <c r="DY25" s="58">
        <f t="shared" ca="1" si="85"/>
        <v>-305713.93034284032</v>
      </c>
      <c r="DZ25" s="64">
        <f t="shared" ca="1" si="86"/>
        <v>12904.939659140397</v>
      </c>
      <c r="EA25" s="66">
        <f t="shared" ca="1" si="87"/>
        <v>7194286.06965716</v>
      </c>
    </row>
    <row r="26" spans="1:135" x14ac:dyDescent="0.25">
      <c r="A26" s="4">
        <v>19</v>
      </c>
      <c r="B26" s="4"/>
      <c r="C26" s="20"/>
      <c r="D26" s="21"/>
      <c r="E26" s="20"/>
      <c r="F26" s="20"/>
      <c r="G26" s="20"/>
      <c r="H26" s="22"/>
      <c r="I26" s="22"/>
      <c r="J26" s="22"/>
      <c r="K26" s="23"/>
      <c r="L26" s="4"/>
      <c r="M26" s="4"/>
      <c r="N26" s="4"/>
      <c r="O26" s="4"/>
      <c r="P26" s="4"/>
      <c r="Q26" s="4"/>
      <c r="R26" s="4"/>
      <c r="T26" s="53">
        <v>19</v>
      </c>
      <c r="U26" s="26"/>
      <c r="V26" s="26"/>
      <c r="W26" s="54"/>
      <c r="X26" s="55">
        <f t="shared" si="88"/>
        <v>1</v>
      </c>
      <c r="Y26" s="6">
        <f t="shared" si="88"/>
        <v>-12900</v>
      </c>
      <c r="Z26" s="6">
        <f t="shared" si="88"/>
        <v>250000</v>
      </c>
      <c r="AA26" s="6">
        <f t="shared" si="10"/>
        <v>0</v>
      </c>
      <c r="AB26" s="30">
        <f t="shared" si="8"/>
        <v>12900</v>
      </c>
      <c r="AC26" s="30">
        <f t="shared" si="9"/>
        <v>-250000</v>
      </c>
      <c r="AD26" s="6">
        <f t="shared" si="11"/>
        <v>38.5</v>
      </c>
      <c r="AE26" s="6">
        <f t="shared" si="11"/>
        <v>6378245</v>
      </c>
      <c r="AF26" s="6">
        <f t="shared" si="12"/>
        <v>6356863.0187730473</v>
      </c>
      <c r="AG26" s="6">
        <f t="shared" si="13"/>
        <v>3.352329869259135E-3</v>
      </c>
      <c r="AH26" s="8">
        <f t="shared" si="14"/>
        <v>6.6934216229658618E-3</v>
      </c>
      <c r="AI26" s="56">
        <f t="shared" si="15"/>
        <v>6.7385254146834087E-3</v>
      </c>
      <c r="AJ26" s="57">
        <f t="shared" si="16"/>
        <v>6378245.0883603953</v>
      </c>
      <c r="AK26" s="8">
        <f t="shared" si="17"/>
        <v>2.0361285582720838E-3</v>
      </c>
      <c r="AL26" s="8">
        <f t="shared" si="18"/>
        <v>6367558.4882606138</v>
      </c>
      <c r="AM26" s="8">
        <f t="shared" si="19"/>
        <v>16036.473376007938</v>
      </c>
      <c r="AN26" s="8">
        <f t="shared" si="20"/>
        <v>16.826341825445081</v>
      </c>
      <c r="AO26" s="8">
        <f t="shared" si="21"/>
        <v>2.1689203848674052E-2</v>
      </c>
      <c r="AP26" s="8">
        <f t="shared" si="22"/>
        <v>1.5704606433433228E-7</v>
      </c>
      <c r="AQ26" s="8">
        <f t="shared" si="23"/>
        <v>2.5184636976839014E-3</v>
      </c>
      <c r="AR26" s="8">
        <f t="shared" si="24"/>
        <v>3.70015534400603E-6</v>
      </c>
      <c r="AS26" s="8">
        <f t="shared" si="25"/>
        <v>7.4016654475384287E-9</v>
      </c>
      <c r="AT26" s="8">
        <f t="shared" si="26"/>
        <v>6378245.0884971283</v>
      </c>
      <c r="AU26" s="8">
        <f t="shared" si="27"/>
        <v>8.2088351658514316E-2</v>
      </c>
      <c r="AV26" s="8">
        <f t="shared" si="28"/>
        <v>2.0361313720839145E-3</v>
      </c>
      <c r="AW26" s="8">
        <f t="shared" si="29"/>
        <v>1.0067384974780118</v>
      </c>
      <c r="AX26" s="58">
        <f t="shared" si="30"/>
        <v>2.0345549675285794E-3</v>
      </c>
      <c r="AY26" s="59">
        <f t="shared" si="31"/>
        <v>0</v>
      </c>
      <c r="AZ26" s="60">
        <f t="shared" si="32"/>
        <v>6</v>
      </c>
      <c r="BA26" s="61">
        <f t="shared" si="33"/>
        <v>59.657086176349864</v>
      </c>
      <c r="BB26" s="56">
        <f t="shared" si="34"/>
        <v>0.11657141282676385</v>
      </c>
      <c r="BC26" s="56">
        <f t="shared" si="35"/>
        <v>-3.9185715631620689E-2</v>
      </c>
      <c r="BD26" s="56">
        <f t="shared" si="36"/>
        <v>0.63276604638619627</v>
      </c>
      <c r="BE26" s="56">
        <f t="shared" si="37"/>
        <v>36.254823877108315</v>
      </c>
      <c r="BF26" s="62">
        <f t="shared" si="38"/>
        <v>36</v>
      </c>
      <c r="BG26" s="60">
        <f t="shared" si="39"/>
        <v>15</v>
      </c>
      <c r="BH26" s="63">
        <f t="shared" si="40"/>
        <v>17.365957589933601</v>
      </c>
      <c r="BI26" s="64">
        <f t="shared" si="41"/>
        <v>5143373.1390186641</v>
      </c>
      <c r="BJ26" s="65">
        <f t="shared" si="42"/>
        <v>3771943.1014487948</v>
      </c>
      <c r="BK26" s="66">
        <f t="shared" si="43"/>
        <v>12890.021538123134</v>
      </c>
      <c r="BL26" s="55">
        <f t="shared" si="89"/>
        <v>23.92</v>
      </c>
      <c r="BM26" s="6">
        <f t="shared" si="89"/>
        <v>-141.27000000000001</v>
      </c>
      <c r="BN26" s="6">
        <f t="shared" si="89"/>
        <v>-80.900000000000006</v>
      </c>
      <c r="BO26" s="6">
        <f t="shared" si="89"/>
        <v>0</v>
      </c>
      <c r="BP26" s="6">
        <f t="shared" si="89"/>
        <v>-0.35</v>
      </c>
      <c r="BQ26" s="6">
        <f t="shared" si="89"/>
        <v>-0.82</v>
      </c>
      <c r="BR26" s="6">
        <f t="shared" si="90"/>
        <v>0</v>
      </c>
      <c r="BS26" s="6">
        <f t="shared" si="90"/>
        <v>-1.6968478838833759E-6</v>
      </c>
      <c r="BT26" s="6">
        <f t="shared" si="90"/>
        <v>-3.9754721850981945E-6</v>
      </c>
      <c r="BU26" s="67">
        <f t="shared" si="44"/>
        <v>-0.22</v>
      </c>
      <c r="BV26" s="59">
        <f t="shared" si="45"/>
        <v>5143380.9540973902</v>
      </c>
      <c r="BW26" s="60">
        <f t="shared" si="46"/>
        <v>3771821.4489536658</v>
      </c>
      <c r="BX26" s="68">
        <f t="shared" si="47"/>
        <v>12800.391182411484</v>
      </c>
      <c r="BY26" s="55">
        <f t="shared" si="91"/>
        <v>23.92</v>
      </c>
      <c r="BZ26" s="6">
        <f t="shared" si="91"/>
        <v>-141.27000000000001</v>
      </c>
      <c r="CA26" s="6">
        <f t="shared" si="91"/>
        <v>-80.900000000000006</v>
      </c>
      <c r="CB26" s="6">
        <f t="shared" si="91"/>
        <v>0</v>
      </c>
      <c r="CC26" s="6">
        <f t="shared" si="91"/>
        <v>-0.35</v>
      </c>
      <c r="CD26" s="6">
        <f t="shared" si="91"/>
        <v>-0.82</v>
      </c>
      <c r="CE26" s="6">
        <f t="shared" si="92"/>
        <v>0</v>
      </c>
      <c r="CF26" s="6">
        <f t="shared" si="92"/>
        <v>-1.6968478838833759E-6</v>
      </c>
      <c r="CG26" s="6">
        <f t="shared" si="92"/>
        <v>-3.9754721850981945E-6</v>
      </c>
      <c r="CH26" s="67">
        <f t="shared" si="48"/>
        <v>-0.22</v>
      </c>
      <c r="CI26" s="64">
        <f t="shared" si="49"/>
        <v>5143373.1386954347</v>
      </c>
      <c r="CJ26" s="65">
        <f t="shared" si="50"/>
        <v>3771943.1013819654</v>
      </c>
      <c r="CK26" s="66">
        <f t="shared" si="51"/>
        <v>12890.021535505568</v>
      </c>
      <c r="CL26" s="69">
        <f t="shared" si="52"/>
        <v>6378231.8869665386</v>
      </c>
      <c r="CM26" s="6">
        <f t="shared" si="53"/>
        <v>6378245</v>
      </c>
      <c r="CN26" s="6">
        <f t="shared" si="53"/>
        <v>3.352329869259135E-3</v>
      </c>
      <c r="CO26" s="9">
        <f t="shared" si="54"/>
        <v>6.6934216229659433E-3</v>
      </c>
      <c r="CP26" s="9">
        <f t="shared" si="55"/>
        <v>6378244.911930861</v>
      </c>
      <c r="CQ26" s="9">
        <f t="shared" si="56"/>
        <v>2.0209368702047577E-3</v>
      </c>
      <c r="CR26" s="9">
        <f t="shared" si="57"/>
        <v>3.3467108576934797E-3</v>
      </c>
      <c r="CS26" s="9">
        <f t="shared" ca="1" si="58"/>
        <v>1.3618097007062995E-5</v>
      </c>
      <c r="CT26" s="9">
        <f t="shared" ca="1" si="59"/>
        <v>2.0345549672118207E-3</v>
      </c>
      <c r="CU26" s="46">
        <f t="shared" ca="1" si="6"/>
        <v>1.3618097007062995E-5</v>
      </c>
      <c r="CV26" s="70">
        <f t="shared" ca="1" si="60"/>
        <v>0</v>
      </c>
      <c r="CW26" s="71">
        <f t="shared" ca="1" si="61"/>
        <v>2.0345549672118207E-3</v>
      </c>
      <c r="CX26" s="59">
        <f t="shared" ca="1" si="62"/>
        <v>0</v>
      </c>
      <c r="CY26" s="60">
        <f t="shared" ca="1" si="63"/>
        <v>6</v>
      </c>
      <c r="CZ26" s="61">
        <f t="shared" ca="1" si="64"/>
        <v>59.6571</v>
      </c>
      <c r="DA26" s="9">
        <f t="shared" ca="1" si="65"/>
        <v>0.11657141280861491</v>
      </c>
      <c r="DB26" s="9">
        <f t="shared" si="66"/>
        <v>0.63276604640771628</v>
      </c>
      <c r="DC26" s="9">
        <f t="shared" si="67"/>
        <v>0</v>
      </c>
      <c r="DD26" s="9">
        <f t="shared" si="68"/>
        <v>0.63276604640771628</v>
      </c>
      <c r="DE26" s="60">
        <f t="shared" si="69"/>
        <v>36</v>
      </c>
      <c r="DF26" s="60">
        <f t="shared" si="70"/>
        <v>15</v>
      </c>
      <c r="DG26" s="61">
        <f t="shared" si="71"/>
        <v>17.366</v>
      </c>
      <c r="DH26" s="9">
        <f t="shared" si="72"/>
        <v>36.254823878341327</v>
      </c>
      <c r="DI26" s="66">
        <f t="shared" ca="1" si="73"/>
        <v>-3.001755103468895E-4</v>
      </c>
      <c r="DJ26" s="55">
        <f t="shared" si="74"/>
        <v>39</v>
      </c>
      <c r="DK26" s="6">
        <f t="shared" si="75"/>
        <v>-4.7912361870072265E-2</v>
      </c>
      <c r="DL26" s="6">
        <f t="shared" si="76"/>
        <v>6356863.0187730473</v>
      </c>
      <c r="DM26" s="6">
        <f t="shared" si="77"/>
        <v>6.7385254146834087E-3</v>
      </c>
      <c r="DN26" s="72">
        <f t="shared" ca="1" si="78"/>
        <v>6.7384975211760307E-3</v>
      </c>
      <c r="DO26" s="73">
        <f t="shared" ca="1" si="79"/>
        <v>6378245.0883603953</v>
      </c>
      <c r="DP26" s="6">
        <f t="shared" si="80"/>
        <v>1.0050517725429551</v>
      </c>
      <c r="DQ26" s="6">
        <f t="shared" si="81"/>
        <v>-2.5311877419908228E-3</v>
      </c>
      <c r="DR26" s="6">
        <f t="shared" si="82"/>
        <v>2.6558601241364054E-6</v>
      </c>
      <c r="DS26" s="6">
        <f t="shared" si="83"/>
        <v>-3.4165783147131439E-9</v>
      </c>
      <c r="DT26" s="6">
        <f t="shared" si="93"/>
        <v>7</v>
      </c>
      <c r="DU26" s="6">
        <f t="shared" si="93"/>
        <v>0</v>
      </c>
      <c r="DV26" s="6">
        <f t="shared" si="93"/>
        <v>500000</v>
      </c>
      <c r="DW26" s="6">
        <f t="shared" si="93"/>
        <v>1</v>
      </c>
      <c r="DX26" s="74">
        <f t="shared" ca="1" si="84"/>
        <v>12890.030428976437</v>
      </c>
      <c r="DY26" s="58">
        <f t="shared" ca="1" si="85"/>
        <v>-305713.93034284032</v>
      </c>
      <c r="DZ26" s="64">
        <f t="shared" ca="1" si="86"/>
        <v>12904.939659140397</v>
      </c>
      <c r="EA26" s="66">
        <f t="shared" ca="1" si="87"/>
        <v>7194286.06965716</v>
      </c>
    </row>
    <row r="27" spans="1:135" x14ac:dyDescent="0.25">
      <c r="A27" s="4">
        <v>20</v>
      </c>
      <c r="B27" s="4"/>
      <c r="C27" s="20"/>
      <c r="D27" s="21"/>
      <c r="E27" s="20"/>
      <c r="F27" s="20"/>
      <c r="G27" s="20"/>
      <c r="H27" s="22"/>
      <c r="I27" s="22"/>
      <c r="J27" s="22"/>
      <c r="K27" s="23"/>
      <c r="L27" s="4"/>
      <c r="M27" s="4"/>
      <c r="N27" s="4"/>
      <c r="O27" s="4"/>
      <c r="P27" s="4"/>
      <c r="Q27" s="4"/>
      <c r="R27" s="4"/>
      <c r="T27" s="53">
        <v>20</v>
      </c>
      <c r="U27" s="26"/>
      <c r="V27" s="26"/>
      <c r="W27" s="54"/>
      <c r="X27" s="55">
        <f t="shared" si="88"/>
        <v>1</v>
      </c>
      <c r="Y27" s="6">
        <f t="shared" si="88"/>
        <v>-12900</v>
      </c>
      <c r="Z27" s="6">
        <f t="shared" si="88"/>
        <v>250000</v>
      </c>
      <c r="AA27" s="6">
        <f t="shared" si="10"/>
        <v>0</v>
      </c>
      <c r="AB27" s="30">
        <f t="shared" si="8"/>
        <v>12900</v>
      </c>
      <c r="AC27" s="30">
        <f t="shared" si="9"/>
        <v>-250000</v>
      </c>
      <c r="AD27" s="6">
        <f t="shared" si="11"/>
        <v>38.5</v>
      </c>
      <c r="AE27" s="6">
        <f t="shared" si="11"/>
        <v>6378245</v>
      </c>
      <c r="AF27" s="6">
        <f t="shared" si="12"/>
        <v>6356863.0187730473</v>
      </c>
      <c r="AG27" s="6">
        <f t="shared" si="13"/>
        <v>3.352329869259135E-3</v>
      </c>
      <c r="AH27" s="8">
        <f t="shared" si="14"/>
        <v>6.6934216229658618E-3</v>
      </c>
      <c r="AI27" s="56">
        <f t="shared" si="15"/>
        <v>6.7385254146834087E-3</v>
      </c>
      <c r="AJ27" s="57">
        <f t="shared" si="16"/>
        <v>6378245.0883603953</v>
      </c>
      <c r="AK27" s="8">
        <f t="shared" si="17"/>
        <v>2.0361285582720838E-3</v>
      </c>
      <c r="AL27" s="8">
        <f t="shared" si="18"/>
        <v>6367558.4882606138</v>
      </c>
      <c r="AM27" s="8">
        <f t="shared" si="19"/>
        <v>16036.473376007938</v>
      </c>
      <c r="AN27" s="8">
        <f t="shared" si="20"/>
        <v>16.826341825445081</v>
      </c>
      <c r="AO27" s="8">
        <f t="shared" si="21"/>
        <v>2.1689203848674052E-2</v>
      </c>
      <c r="AP27" s="8">
        <f t="shared" si="22"/>
        <v>1.5704606433433228E-7</v>
      </c>
      <c r="AQ27" s="8">
        <f t="shared" si="23"/>
        <v>2.5184636976839014E-3</v>
      </c>
      <c r="AR27" s="8">
        <f t="shared" si="24"/>
        <v>3.70015534400603E-6</v>
      </c>
      <c r="AS27" s="8">
        <f t="shared" si="25"/>
        <v>7.4016654475384287E-9</v>
      </c>
      <c r="AT27" s="8">
        <f t="shared" si="26"/>
        <v>6378245.0884971283</v>
      </c>
      <c r="AU27" s="8">
        <f t="shared" si="27"/>
        <v>8.2088351658514316E-2</v>
      </c>
      <c r="AV27" s="8">
        <f t="shared" si="28"/>
        <v>2.0361313720839145E-3</v>
      </c>
      <c r="AW27" s="8">
        <f t="shared" si="29"/>
        <v>1.0067384974780118</v>
      </c>
      <c r="AX27" s="58">
        <f t="shared" si="30"/>
        <v>2.0345549675285794E-3</v>
      </c>
      <c r="AY27" s="59">
        <f t="shared" si="31"/>
        <v>0</v>
      </c>
      <c r="AZ27" s="60">
        <f t="shared" si="32"/>
        <v>6</v>
      </c>
      <c r="BA27" s="61">
        <f t="shared" si="33"/>
        <v>59.657086176349864</v>
      </c>
      <c r="BB27" s="56">
        <f t="shared" si="34"/>
        <v>0.11657141282676385</v>
      </c>
      <c r="BC27" s="56">
        <f t="shared" si="35"/>
        <v>-3.9185715631620689E-2</v>
      </c>
      <c r="BD27" s="56">
        <f t="shared" si="36"/>
        <v>0.63276604638619627</v>
      </c>
      <c r="BE27" s="56">
        <f t="shared" si="37"/>
        <v>36.254823877108315</v>
      </c>
      <c r="BF27" s="62">
        <f t="shared" si="38"/>
        <v>36</v>
      </c>
      <c r="BG27" s="60">
        <f t="shared" si="39"/>
        <v>15</v>
      </c>
      <c r="BH27" s="63">
        <f t="shared" si="40"/>
        <v>17.365957589933601</v>
      </c>
      <c r="BI27" s="64">
        <f t="shared" si="41"/>
        <v>5143373.1390186641</v>
      </c>
      <c r="BJ27" s="65">
        <f t="shared" si="42"/>
        <v>3771943.1014487948</v>
      </c>
      <c r="BK27" s="66">
        <f t="shared" si="43"/>
        <v>12890.021538123134</v>
      </c>
      <c r="BL27" s="55">
        <f t="shared" si="89"/>
        <v>23.92</v>
      </c>
      <c r="BM27" s="6">
        <f t="shared" si="89"/>
        <v>-141.27000000000001</v>
      </c>
      <c r="BN27" s="6">
        <f t="shared" si="89"/>
        <v>-80.900000000000006</v>
      </c>
      <c r="BO27" s="6">
        <f t="shared" si="89"/>
        <v>0</v>
      </c>
      <c r="BP27" s="6">
        <f t="shared" si="89"/>
        <v>-0.35</v>
      </c>
      <c r="BQ27" s="6">
        <f t="shared" si="89"/>
        <v>-0.82</v>
      </c>
      <c r="BR27" s="6">
        <f t="shared" si="90"/>
        <v>0</v>
      </c>
      <c r="BS27" s="6">
        <f t="shared" si="90"/>
        <v>-1.6968478838833759E-6</v>
      </c>
      <c r="BT27" s="6">
        <f t="shared" si="90"/>
        <v>-3.9754721850981945E-6</v>
      </c>
      <c r="BU27" s="67">
        <f t="shared" si="44"/>
        <v>-0.22</v>
      </c>
      <c r="BV27" s="59">
        <f t="shared" si="45"/>
        <v>5143380.9540973902</v>
      </c>
      <c r="BW27" s="60">
        <f t="shared" si="46"/>
        <v>3771821.4489536658</v>
      </c>
      <c r="BX27" s="68">
        <f t="shared" si="47"/>
        <v>12800.391182411484</v>
      </c>
      <c r="BY27" s="55">
        <f t="shared" si="91"/>
        <v>23.92</v>
      </c>
      <c r="BZ27" s="6">
        <f t="shared" si="91"/>
        <v>-141.27000000000001</v>
      </c>
      <c r="CA27" s="6">
        <f t="shared" si="91"/>
        <v>-80.900000000000006</v>
      </c>
      <c r="CB27" s="6">
        <f t="shared" si="91"/>
        <v>0</v>
      </c>
      <c r="CC27" s="6">
        <f t="shared" si="91"/>
        <v>-0.35</v>
      </c>
      <c r="CD27" s="6">
        <f t="shared" si="91"/>
        <v>-0.82</v>
      </c>
      <c r="CE27" s="6">
        <f t="shared" si="92"/>
        <v>0</v>
      </c>
      <c r="CF27" s="6">
        <f t="shared" si="92"/>
        <v>-1.6968478838833759E-6</v>
      </c>
      <c r="CG27" s="6">
        <f t="shared" si="92"/>
        <v>-3.9754721850981945E-6</v>
      </c>
      <c r="CH27" s="67">
        <f t="shared" si="48"/>
        <v>-0.22</v>
      </c>
      <c r="CI27" s="64">
        <f t="shared" si="49"/>
        <v>5143373.1386954347</v>
      </c>
      <c r="CJ27" s="65">
        <f t="shared" si="50"/>
        <v>3771943.1013819654</v>
      </c>
      <c r="CK27" s="66">
        <f t="shared" si="51"/>
        <v>12890.021535505568</v>
      </c>
      <c r="CL27" s="69">
        <f t="shared" si="52"/>
        <v>6378231.8869665386</v>
      </c>
      <c r="CM27" s="6">
        <f t="shared" si="53"/>
        <v>6378245</v>
      </c>
      <c r="CN27" s="6">
        <f t="shared" si="53"/>
        <v>3.352329869259135E-3</v>
      </c>
      <c r="CO27" s="9">
        <f t="shared" si="54"/>
        <v>6.6934216229659433E-3</v>
      </c>
      <c r="CP27" s="9">
        <f t="shared" si="55"/>
        <v>6378244.911930861</v>
      </c>
      <c r="CQ27" s="9">
        <f t="shared" si="56"/>
        <v>2.0209368702047577E-3</v>
      </c>
      <c r="CR27" s="9">
        <f t="shared" si="57"/>
        <v>3.3467108576934797E-3</v>
      </c>
      <c r="CS27" s="9">
        <f t="shared" ca="1" si="58"/>
        <v>1.3618097007062995E-5</v>
      </c>
      <c r="CT27" s="9">
        <f t="shared" ca="1" si="59"/>
        <v>2.0345549672118207E-3</v>
      </c>
      <c r="CU27" s="46">
        <f t="shared" ca="1" si="6"/>
        <v>1.3618097007062995E-5</v>
      </c>
      <c r="CV27" s="70">
        <f t="shared" ca="1" si="60"/>
        <v>0</v>
      </c>
      <c r="CW27" s="71">
        <f t="shared" ca="1" si="61"/>
        <v>2.0345549672118207E-3</v>
      </c>
      <c r="CX27" s="59">
        <f t="shared" ca="1" si="62"/>
        <v>0</v>
      </c>
      <c r="CY27" s="60">
        <f t="shared" ca="1" si="63"/>
        <v>6</v>
      </c>
      <c r="CZ27" s="61">
        <f t="shared" ca="1" si="64"/>
        <v>59.6571</v>
      </c>
      <c r="DA27" s="9">
        <f t="shared" ca="1" si="65"/>
        <v>0.11657141280861491</v>
      </c>
      <c r="DB27" s="9">
        <f t="shared" si="66"/>
        <v>0.63276604640771628</v>
      </c>
      <c r="DC27" s="9">
        <f t="shared" si="67"/>
        <v>0</v>
      </c>
      <c r="DD27" s="9">
        <f t="shared" si="68"/>
        <v>0.63276604640771628</v>
      </c>
      <c r="DE27" s="60">
        <f t="shared" si="69"/>
        <v>36</v>
      </c>
      <c r="DF27" s="60">
        <f t="shared" si="70"/>
        <v>15</v>
      </c>
      <c r="DG27" s="61">
        <f t="shared" si="71"/>
        <v>17.366</v>
      </c>
      <c r="DH27" s="9">
        <f t="shared" si="72"/>
        <v>36.254823878341327</v>
      </c>
      <c r="DI27" s="66">
        <f t="shared" ca="1" si="73"/>
        <v>-3.001755103468895E-4</v>
      </c>
      <c r="DJ27" s="55">
        <f t="shared" si="74"/>
        <v>39</v>
      </c>
      <c r="DK27" s="6">
        <f t="shared" si="75"/>
        <v>-4.7912361870072265E-2</v>
      </c>
      <c r="DL27" s="6">
        <f t="shared" si="76"/>
        <v>6356863.0187730473</v>
      </c>
      <c r="DM27" s="6">
        <f t="shared" si="77"/>
        <v>6.7385254146834087E-3</v>
      </c>
      <c r="DN27" s="72">
        <f t="shared" ca="1" si="78"/>
        <v>6.7384975211760307E-3</v>
      </c>
      <c r="DO27" s="73">
        <f t="shared" ca="1" si="79"/>
        <v>6378245.0883603953</v>
      </c>
      <c r="DP27" s="6">
        <f t="shared" si="80"/>
        <v>1.0050517725429551</v>
      </c>
      <c r="DQ27" s="6">
        <f t="shared" si="81"/>
        <v>-2.5311877419908228E-3</v>
      </c>
      <c r="DR27" s="6">
        <f t="shared" si="82"/>
        <v>2.6558601241364054E-6</v>
      </c>
      <c r="DS27" s="6">
        <f t="shared" si="83"/>
        <v>-3.4165783147131439E-9</v>
      </c>
      <c r="DT27" s="6">
        <f t="shared" si="93"/>
        <v>7</v>
      </c>
      <c r="DU27" s="6">
        <f t="shared" si="93"/>
        <v>0</v>
      </c>
      <c r="DV27" s="6">
        <f t="shared" si="93"/>
        <v>500000</v>
      </c>
      <c r="DW27" s="6">
        <f t="shared" si="93"/>
        <v>1</v>
      </c>
      <c r="DX27" s="74">
        <f t="shared" ca="1" si="84"/>
        <v>12890.030428976437</v>
      </c>
      <c r="DY27" s="58">
        <f t="shared" ca="1" si="85"/>
        <v>-305713.93034284032</v>
      </c>
      <c r="DZ27" s="64">
        <f t="shared" ca="1" si="86"/>
        <v>12904.939659140397</v>
      </c>
      <c r="EA27" s="66">
        <f t="shared" ca="1" si="87"/>
        <v>7194286.06965716</v>
      </c>
    </row>
    <row r="28" spans="1:135" x14ac:dyDescent="0.25">
      <c r="A28" s="4">
        <v>30</v>
      </c>
      <c r="B28" s="4"/>
      <c r="C28" s="20"/>
      <c r="D28" s="21"/>
      <c r="E28" s="20"/>
      <c r="F28" s="20"/>
      <c r="G28" s="20"/>
      <c r="H28" s="22"/>
      <c r="I28" s="22"/>
      <c r="J28" s="22"/>
      <c r="K28" s="23"/>
      <c r="L28" s="4"/>
      <c r="M28" s="4"/>
      <c r="N28" s="4"/>
      <c r="O28" s="4"/>
      <c r="P28" s="4"/>
      <c r="Q28" s="4"/>
      <c r="R28" s="4"/>
      <c r="T28" s="53">
        <v>21</v>
      </c>
      <c r="U28" s="26"/>
      <c r="V28" s="26"/>
      <c r="W28" s="54"/>
      <c r="X28" s="55">
        <f t="shared" si="88"/>
        <v>1</v>
      </c>
      <c r="Y28" s="6">
        <f t="shared" si="88"/>
        <v>-12900</v>
      </c>
      <c r="Z28" s="6">
        <f t="shared" si="88"/>
        <v>250000</v>
      </c>
      <c r="AA28" s="6">
        <f t="shared" si="10"/>
        <v>0</v>
      </c>
      <c r="AB28" s="30">
        <f t="shared" si="8"/>
        <v>12900</v>
      </c>
      <c r="AC28" s="30">
        <f t="shared" si="9"/>
        <v>-250000</v>
      </c>
      <c r="AD28" s="6">
        <f t="shared" si="11"/>
        <v>38.5</v>
      </c>
      <c r="AE28" s="6">
        <f t="shared" si="11"/>
        <v>6378245</v>
      </c>
      <c r="AF28" s="6">
        <f t="shared" si="12"/>
        <v>6356863.0187730473</v>
      </c>
      <c r="AG28" s="6">
        <f t="shared" si="13"/>
        <v>3.352329869259135E-3</v>
      </c>
      <c r="AH28" s="8">
        <f t="shared" si="14"/>
        <v>6.6934216229658618E-3</v>
      </c>
      <c r="AI28" s="56">
        <f t="shared" si="15"/>
        <v>6.7385254146834087E-3</v>
      </c>
      <c r="AJ28" s="57">
        <f t="shared" si="16"/>
        <v>6378245.0883603953</v>
      </c>
      <c r="AK28" s="8">
        <f t="shared" si="17"/>
        <v>2.0361285582720838E-3</v>
      </c>
      <c r="AL28" s="8">
        <f t="shared" si="18"/>
        <v>6367558.4882606138</v>
      </c>
      <c r="AM28" s="8">
        <f t="shared" si="19"/>
        <v>16036.473376007938</v>
      </c>
      <c r="AN28" s="8">
        <f t="shared" si="20"/>
        <v>16.826341825445081</v>
      </c>
      <c r="AO28" s="8">
        <f t="shared" si="21"/>
        <v>2.1689203848674052E-2</v>
      </c>
      <c r="AP28" s="8">
        <f t="shared" si="22"/>
        <v>1.5704606433433228E-7</v>
      </c>
      <c r="AQ28" s="8">
        <f t="shared" si="23"/>
        <v>2.5184636976839014E-3</v>
      </c>
      <c r="AR28" s="8">
        <f t="shared" si="24"/>
        <v>3.70015534400603E-6</v>
      </c>
      <c r="AS28" s="8">
        <f t="shared" si="25"/>
        <v>7.4016654475384287E-9</v>
      </c>
      <c r="AT28" s="8">
        <f t="shared" si="26"/>
        <v>6378245.0884971283</v>
      </c>
      <c r="AU28" s="8">
        <f t="shared" si="27"/>
        <v>8.2088351658514316E-2</v>
      </c>
      <c r="AV28" s="8">
        <f t="shared" si="28"/>
        <v>2.0361313720839145E-3</v>
      </c>
      <c r="AW28" s="8">
        <f t="shared" si="29"/>
        <v>1.0067384974780118</v>
      </c>
      <c r="AX28" s="58">
        <f t="shared" si="30"/>
        <v>2.0345549675285794E-3</v>
      </c>
      <c r="AY28" s="59">
        <f t="shared" si="31"/>
        <v>0</v>
      </c>
      <c r="AZ28" s="60">
        <f t="shared" si="32"/>
        <v>6</v>
      </c>
      <c r="BA28" s="61">
        <f t="shared" si="33"/>
        <v>59.657086176349864</v>
      </c>
      <c r="BB28" s="56">
        <f t="shared" si="34"/>
        <v>0.11657141282676385</v>
      </c>
      <c r="BC28" s="56">
        <f t="shared" si="35"/>
        <v>-3.9185715631620689E-2</v>
      </c>
      <c r="BD28" s="56">
        <f t="shared" si="36"/>
        <v>0.63276604638619627</v>
      </c>
      <c r="BE28" s="56">
        <f t="shared" si="37"/>
        <v>36.254823877108315</v>
      </c>
      <c r="BF28" s="62">
        <f t="shared" si="38"/>
        <v>36</v>
      </c>
      <c r="BG28" s="60">
        <f t="shared" si="39"/>
        <v>15</v>
      </c>
      <c r="BH28" s="63">
        <f t="shared" si="40"/>
        <v>17.365957589933601</v>
      </c>
      <c r="BI28" s="64">
        <f t="shared" si="41"/>
        <v>5143373.1390186641</v>
      </c>
      <c r="BJ28" s="65">
        <f t="shared" si="42"/>
        <v>3771943.1014487948</v>
      </c>
      <c r="BK28" s="66">
        <f t="shared" si="43"/>
        <v>12890.021538123134</v>
      </c>
      <c r="BL28" s="55">
        <f t="shared" si="89"/>
        <v>23.92</v>
      </c>
      <c r="BM28" s="6">
        <f t="shared" si="89"/>
        <v>-141.27000000000001</v>
      </c>
      <c r="BN28" s="6">
        <f t="shared" si="89"/>
        <v>-80.900000000000006</v>
      </c>
      <c r="BO28" s="6">
        <f t="shared" si="89"/>
        <v>0</v>
      </c>
      <c r="BP28" s="6">
        <f t="shared" si="89"/>
        <v>-0.35</v>
      </c>
      <c r="BQ28" s="6">
        <f t="shared" si="89"/>
        <v>-0.82</v>
      </c>
      <c r="BR28" s="6">
        <f t="shared" si="90"/>
        <v>0</v>
      </c>
      <c r="BS28" s="6">
        <f t="shared" si="90"/>
        <v>-1.6968478838833759E-6</v>
      </c>
      <c r="BT28" s="6">
        <f t="shared" si="90"/>
        <v>-3.9754721850981945E-6</v>
      </c>
      <c r="BU28" s="67">
        <f t="shared" si="44"/>
        <v>-0.22</v>
      </c>
      <c r="BV28" s="59">
        <f t="shared" si="45"/>
        <v>5143380.9540973902</v>
      </c>
      <c r="BW28" s="60">
        <f t="shared" si="46"/>
        <v>3771821.4489536658</v>
      </c>
      <c r="BX28" s="68">
        <f t="shared" si="47"/>
        <v>12800.391182411484</v>
      </c>
      <c r="BY28" s="55">
        <f t="shared" si="91"/>
        <v>23.92</v>
      </c>
      <c r="BZ28" s="6">
        <f t="shared" si="91"/>
        <v>-141.27000000000001</v>
      </c>
      <c r="CA28" s="6">
        <f t="shared" si="91"/>
        <v>-80.900000000000006</v>
      </c>
      <c r="CB28" s="6">
        <f t="shared" si="91"/>
        <v>0</v>
      </c>
      <c r="CC28" s="6">
        <f t="shared" si="91"/>
        <v>-0.35</v>
      </c>
      <c r="CD28" s="6">
        <f t="shared" si="91"/>
        <v>-0.82</v>
      </c>
      <c r="CE28" s="6">
        <f t="shared" si="92"/>
        <v>0</v>
      </c>
      <c r="CF28" s="6">
        <f t="shared" si="92"/>
        <v>-1.6968478838833759E-6</v>
      </c>
      <c r="CG28" s="6">
        <f t="shared" si="92"/>
        <v>-3.9754721850981945E-6</v>
      </c>
      <c r="CH28" s="67">
        <f t="shared" si="48"/>
        <v>-0.22</v>
      </c>
      <c r="CI28" s="64">
        <f t="shared" si="49"/>
        <v>5143373.1386954347</v>
      </c>
      <c r="CJ28" s="65">
        <f t="shared" si="50"/>
        <v>3771943.1013819654</v>
      </c>
      <c r="CK28" s="66">
        <f t="shared" si="51"/>
        <v>12890.021535505568</v>
      </c>
      <c r="CL28" s="69">
        <f t="shared" si="52"/>
        <v>6378231.8869665386</v>
      </c>
      <c r="CM28" s="6">
        <f t="shared" si="53"/>
        <v>6378245</v>
      </c>
      <c r="CN28" s="6">
        <f t="shared" si="53"/>
        <v>3.352329869259135E-3</v>
      </c>
      <c r="CO28" s="9">
        <f t="shared" si="54"/>
        <v>6.6934216229659433E-3</v>
      </c>
      <c r="CP28" s="9">
        <f t="shared" si="55"/>
        <v>6378244.911930861</v>
      </c>
      <c r="CQ28" s="9">
        <f t="shared" si="56"/>
        <v>2.0209368702047577E-3</v>
      </c>
      <c r="CR28" s="9">
        <f t="shared" si="57"/>
        <v>3.3467108576934797E-3</v>
      </c>
      <c r="CS28" s="9">
        <f t="shared" ca="1" si="58"/>
        <v>1.3618097007062995E-5</v>
      </c>
      <c r="CT28" s="9">
        <f t="shared" ca="1" si="59"/>
        <v>2.0345549672118207E-3</v>
      </c>
      <c r="CU28" s="46">
        <f t="shared" ca="1" si="6"/>
        <v>1.3618097007062995E-5</v>
      </c>
      <c r="CV28" s="70">
        <f t="shared" ca="1" si="60"/>
        <v>0</v>
      </c>
      <c r="CW28" s="71">
        <f t="shared" ca="1" si="61"/>
        <v>2.0345549672118207E-3</v>
      </c>
      <c r="CX28" s="59">
        <f t="shared" ca="1" si="62"/>
        <v>0</v>
      </c>
      <c r="CY28" s="60">
        <f t="shared" ca="1" si="63"/>
        <v>6</v>
      </c>
      <c r="CZ28" s="61">
        <f t="shared" ca="1" si="64"/>
        <v>59.6571</v>
      </c>
      <c r="DA28" s="9">
        <f t="shared" ca="1" si="65"/>
        <v>0.11657141280861491</v>
      </c>
      <c r="DB28" s="9">
        <f t="shared" si="66"/>
        <v>0.63276604640771628</v>
      </c>
      <c r="DC28" s="9">
        <f t="shared" si="67"/>
        <v>0</v>
      </c>
      <c r="DD28" s="9">
        <f t="shared" si="68"/>
        <v>0.63276604640771628</v>
      </c>
      <c r="DE28" s="60">
        <f t="shared" si="69"/>
        <v>36</v>
      </c>
      <c r="DF28" s="60">
        <f t="shared" si="70"/>
        <v>15</v>
      </c>
      <c r="DG28" s="61">
        <f t="shared" si="71"/>
        <v>17.366</v>
      </c>
      <c r="DH28" s="9">
        <f t="shared" si="72"/>
        <v>36.254823878341327</v>
      </c>
      <c r="DI28" s="66">
        <f t="shared" ca="1" si="73"/>
        <v>-3.001755103468895E-4</v>
      </c>
      <c r="DJ28" s="55">
        <f t="shared" si="74"/>
        <v>39</v>
      </c>
      <c r="DK28" s="6">
        <f t="shared" si="75"/>
        <v>-4.7912361870072265E-2</v>
      </c>
      <c r="DL28" s="6">
        <f t="shared" si="76"/>
        <v>6356863.0187730473</v>
      </c>
      <c r="DM28" s="6">
        <f t="shared" si="77"/>
        <v>6.7385254146834087E-3</v>
      </c>
      <c r="DN28" s="72">
        <f t="shared" ca="1" si="78"/>
        <v>6.7384975211760307E-3</v>
      </c>
      <c r="DO28" s="73">
        <f t="shared" ca="1" si="79"/>
        <v>6378245.0883603953</v>
      </c>
      <c r="DP28" s="6">
        <f t="shared" si="80"/>
        <v>1.0050517725429551</v>
      </c>
      <c r="DQ28" s="6">
        <f t="shared" si="81"/>
        <v>-2.5311877419908228E-3</v>
      </c>
      <c r="DR28" s="6">
        <f t="shared" si="82"/>
        <v>2.6558601241364054E-6</v>
      </c>
      <c r="DS28" s="6">
        <f t="shared" si="83"/>
        <v>-3.4165783147131439E-9</v>
      </c>
      <c r="DT28" s="6">
        <f t="shared" si="93"/>
        <v>7</v>
      </c>
      <c r="DU28" s="6">
        <f t="shared" si="93"/>
        <v>0</v>
      </c>
      <c r="DV28" s="6">
        <f t="shared" si="93"/>
        <v>500000</v>
      </c>
      <c r="DW28" s="6">
        <f t="shared" si="93"/>
        <v>1</v>
      </c>
      <c r="DX28" s="74">
        <f t="shared" ca="1" si="84"/>
        <v>12890.030428976437</v>
      </c>
      <c r="DY28" s="58">
        <f t="shared" ca="1" si="85"/>
        <v>-305713.93034284032</v>
      </c>
      <c r="DZ28" s="64">
        <f t="shared" ca="1" si="86"/>
        <v>12904.939659140397</v>
      </c>
      <c r="EA28" s="66">
        <f t="shared" ca="1" si="87"/>
        <v>7194286.06965716</v>
      </c>
    </row>
    <row r="29" spans="1:135" x14ac:dyDescent="0.25">
      <c r="A29" s="4">
        <v>31</v>
      </c>
      <c r="B29" s="4"/>
      <c r="C29" s="20"/>
      <c r="D29" s="21"/>
      <c r="E29" s="20"/>
      <c r="F29" s="20"/>
      <c r="G29" s="20"/>
      <c r="H29" s="22"/>
      <c r="I29" s="22"/>
      <c r="J29" s="22"/>
      <c r="K29" s="23"/>
      <c r="L29" s="22"/>
      <c r="M29" s="4"/>
      <c r="N29" s="24"/>
      <c r="O29" s="4"/>
      <c r="P29" s="4"/>
      <c r="Q29" s="20"/>
      <c r="R29" s="4"/>
      <c r="T29" s="53">
        <v>22</v>
      </c>
      <c r="U29" s="26"/>
      <c r="V29" s="26"/>
      <c r="W29" s="54"/>
      <c r="X29" s="55">
        <f t="shared" si="88"/>
        <v>1</v>
      </c>
      <c r="Y29" s="6">
        <f t="shared" si="88"/>
        <v>-12900</v>
      </c>
      <c r="Z29" s="6">
        <f t="shared" si="88"/>
        <v>250000</v>
      </c>
      <c r="AA29" s="6">
        <f t="shared" si="10"/>
        <v>0</v>
      </c>
      <c r="AB29" s="30">
        <f t="shared" si="8"/>
        <v>12900</v>
      </c>
      <c r="AC29" s="30">
        <f t="shared" si="9"/>
        <v>-250000</v>
      </c>
      <c r="AD29" s="6">
        <f t="shared" si="11"/>
        <v>38.5</v>
      </c>
      <c r="AE29" s="6">
        <f t="shared" si="11"/>
        <v>6378245</v>
      </c>
      <c r="AF29" s="6">
        <f t="shared" si="12"/>
        <v>6356863.0187730473</v>
      </c>
      <c r="AG29" s="6">
        <f t="shared" si="13"/>
        <v>3.352329869259135E-3</v>
      </c>
      <c r="AH29" s="8">
        <f t="shared" si="14"/>
        <v>6.6934216229658618E-3</v>
      </c>
      <c r="AI29" s="56">
        <f t="shared" si="15"/>
        <v>6.7385254146834087E-3</v>
      </c>
      <c r="AJ29" s="57">
        <f t="shared" si="16"/>
        <v>6378245.0883603953</v>
      </c>
      <c r="AK29" s="8">
        <f t="shared" si="17"/>
        <v>2.0361285582720838E-3</v>
      </c>
      <c r="AL29" s="8">
        <f t="shared" si="18"/>
        <v>6367558.4882606138</v>
      </c>
      <c r="AM29" s="8">
        <f t="shared" si="19"/>
        <v>16036.473376007938</v>
      </c>
      <c r="AN29" s="8">
        <f t="shared" si="20"/>
        <v>16.826341825445081</v>
      </c>
      <c r="AO29" s="8">
        <f t="shared" si="21"/>
        <v>2.1689203848674052E-2</v>
      </c>
      <c r="AP29" s="8">
        <f t="shared" si="22"/>
        <v>1.5704606433433228E-7</v>
      </c>
      <c r="AQ29" s="8">
        <f t="shared" si="23"/>
        <v>2.5184636976839014E-3</v>
      </c>
      <c r="AR29" s="8">
        <f t="shared" si="24"/>
        <v>3.70015534400603E-6</v>
      </c>
      <c r="AS29" s="8">
        <f t="shared" si="25"/>
        <v>7.4016654475384287E-9</v>
      </c>
      <c r="AT29" s="8">
        <f t="shared" si="26"/>
        <v>6378245.0884971283</v>
      </c>
      <c r="AU29" s="8">
        <f t="shared" si="27"/>
        <v>8.2088351658514316E-2</v>
      </c>
      <c r="AV29" s="8">
        <f t="shared" si="28"/>
        <v>2.0361313720839145E-3</v>
      </c>
      <c r="AW29" s="8">
        <f t="shared" si="29"/>
        <v>1.0067384974780118</v>
      </c>
      <c r="AX29" s="58">
        <f t="shared" si="30"/>
        <v>2.0345549675285794E-3</v>
      </c>
      <c r="AY29" s="59">
        <f t="shared" si="31"/>
        <v>0</v>
      </c>
      <c r="AZ29" s="60">
        <f t="shared" si="32"/>
        <v>6</v>
      </c>
      <c r="BA29" s="61">
        <f t="shared" si="33"/>
        <v>59.657086176349864</v>
      </c>
      <c r="BB29" s="56">
        <f t="shared" si="34"/>
        <v>0.11657141282676385</v>
      </c>
      <c r="BC29" s="56">
        <f t="shared" si="35"/>
        <v>-3.9185715631620689E-2</v>
      </c>
      <c r="BD29" s="56">
        <f t="shared" si="36"/>
        <v>0.63276604638619627</v>
      </c>
      <c r="BE29" s="56">
        <f t="shared" si="37"/>
        <v>36.254823877108315</v>
      </c>
      <c r="BF29" s="62">
        <f t="shared" si="38"/>
        <v>36</v>
      </c>
      <c r="BG29" s="60">
        <f t="shared" si="39"/>
        <v>15</v>
      </c>
      <c r="BH29" s="63">
        <f t="shared" si="40"/>
        <v>17.365957589933601</v>
      </c>
      <c r="BI29" s="64">
        <f t="shared" si="41"/>
        <v>5143373.1390186641</v>
      </c>
      <c r="BJ29" s="65">
        <f t="shared" si="42"/>
        <v>3771943.1014487948</v>
      </c>
      <c r="BK29" s="66">
        <f t="shared" si="43"/>
        <v>12890.021538123134</v>
      </c>
      <c r="BL29" s="55">
        <f t="shared" si="89"/>
        <v>23.92</v>
      </c>
      <c r="BM29" s="6">
        <f t="shared" si="89"/>
        <v>-141.27000000000001</v>
      </c>
      <c r="BN29" s="6">
        <f t="shared" si="89"/>
        <v>-80.900000000000006</v>
      </c>
      <c r="BO29" s="6">
        <f t="shared" si="89"/>
        <v>0</v>
      </c>
      <c r="BP29" s="6">
        <f t="shared" si="89"/>
        <v>-0.35</v>
      </c>
      <c r="BQ29" s="6">
        <f t="shared" si="89"/>
        <v>-0.82</v>
      </c>
      <c r="BR29" s="6">
        <f t="shared" si="90"/>
        <v>0</v>
      </c>
      <c r="BS29" s="6">
        <f t="shared" si="90"/>
        <v>-1.6968478838833759E-6</v>
      </c>
      <c r="BT29" s="6">
        <f t="shared" si="90"/>
        <v>-3.9754721850981945E-6</v>
      </c>
      <c r="BU29" s="67">
        <f t="shared" si="44"/>
        <v>-0.22</v>
      </c>
      <c r="BV29" s="59">
        <f t="shared" si="45"/>
        <v>5143380.9540973902</v>
      </c>
      <c r="BW29" s="60">
        <f t="shared" si="46"/>
        <v>3771821.4489536658</v>
      </c>
      <c r="BX29" s="68">
        <f t="shared" si="47"/>
        <v>12800.391182411484</v>
      </c>
      <c r="BY29" s="55">
        <f t="shared" si="91"/>
        <v>23.92</v>
      </c>
      <c r="BZ29" s="6">
        <f t="shared" si="91"/>
        <v>-141.27000000000001</v>
      </c>
      <c r="CA29" s="6">
        <f t="shared" si="91"/>
        <v>-80.900000000000006</v>
      </c>
      <c r="CB29" s="6">
        <f t="shared" si="91"/>
        <v>0</v>
      </c>
      <c r="CC29" s="6">
        <f t="shared" si="91"/>
        <v>-0.35</v>
      </c>
      <c r="CD29" s="6">
        <f t="shared" si="91"/>
        <v>-0.82</v>
      </c>
      <c r="CE29" s="6">
        <f t="shared" si="92"/>
        <v>0</v>
      </c>
      <c r="CF29" s="6">
        <f t="shared" si="92"/>
        <v>-1.6968478838833759E-6</v>
      </c>
      <c r="CG29" s="6">
        <f t="shared" si="92"/>
        <v>-3.9754721850981945E-6</v>
      </c>
      <c r="CH29" s="67">
        <f t="shared" si="48"/>
        <v>-0.22</v>
      </c>
      <c r="CI29" s="64">
        <f t="shared" si="49"/>
        <v>5143373.1386954347</v>
      </c>
      <c r="CJ29" s="65">
        <f t="shared" si="50"/>
        <v>3771943.1013819654</v>
      </c>
      <c r="CK29" s="66">
        <f t="shared" si="51"/>
        <v>12890.021535505568</v>
      </c>
      <c r="CL29" s="69">
        <f t="shared" si="52"/>
        <v>6378231.8869665386</v>
      </c>
      <c r="CM29" s="6">
        <f t="shared" si="53"/>
        <v>6378245</v>
      </c>
      <c r="CN29" s="6">
        <f t="shared" si="53"/>
        <v>3.352329869259135E-3</v>
      </c>
      <c r="CO29" s="9">
        <f t="shared" si="54"/>
        <v>6.6934216229659433E-3</v>
      </c>
      <c r="CP29" s="9">
        <f t="shared" si="55"/>
        <v>6378244.911930861</v>
      </c>
      <c r="CQ29" s="9">
        <f t="shared" si="56"/>
        <v>2.0209368702047577E-3</v>
      </c>
      <c r="CR29" s="9">
        <f t="shared" si="57"/>
        <v>3.3467108576934797E-3</v>
      </c>
      <c r="CS29" s="9">
        <f t="shared" ca="1" si="58"/>
        <v>1.3618097007062995E-5</v>
      </c>
      <c r="CT29" s="9">
        <f t="shared" ca="1" si="59"/>
        <v>2.0345549672118207E-3</v>
      </c>
      <c r="CU29" s="46">
        <f t="shared" ca="1" si="6"/>
        <v>1.3618097007062995E-5</v>
      </c>
      <c r="CV29" s="70">
        <f t="shared" ca="1" si="60"/>
        <v>0</v>
      </c>
      <c r="CW29" s="71">
        <f t="shared" ca="1" si="61"/>
        <v>2.0345549672118207E-3</v>
      </c>
      <c r="CX29" s="59">
        <f t="shared" ca="1" si="62"/>
        <v>0</v>
      </c>
      <c r="CY29" s="60">
        <f t="shared" ca="1" si="63"/>
        <v>6</v>
      </c>
      <c r="CZ29" s="61">
        <f t="shared" ca="1" si="64"/>
        <v>59.6571</v>
      </c>
      <c r="DA29" s="9">
        <f t="shared" ca="1" si="65"/>
        <v>0.11657141280861491</v>
      </c>
      <c r="DB29" s="9">
        <f t="shared" si="66"/>
        <v>0.63276604640771628</v>
      </c>
      <c r="DC29" s="9">
        <f t="shared" si="67"/>
        <v>0</v>
      </c>
      <c r="DD29" s="9">
        <f t="shared" si="68"/>
        <v>0.63276604640771628</v>
      </c>
      <c r="DE29" s="60">
        <f t="shared" si="69"/>
        <v>36</v>
      </c>
      <c r="DF29" s="60">
        <f t="shared" si="70"/>
        <v>15</v>
      </c>
      <c r="DG29" s="61">
        <f t="shared" si="71"/>
        <v>17.366</v>
      </c>
      <c r="DH29" s="9">
        <f t="shared" si="72"/>
        <v>36.254823878341327</v>
      </c>
      <c r="DI29" s="66">
        <f t="shared" ca="1" si="73"/>
        <v>-3.001755103468895E-4</v>
      </c>
      <c r="DJ29" s="55">
        <f t="shared" si="74"/>
        <v>39</v>
      </c>
      <c r="DK29" s="6">
        <f t="shared" si="75"/>
        <v>-4.7912361870072265E-2</v>
      </c>
      <c r="DL29" s="6">
        <f t="shared" si="76"/>
        <v>6356863.0187730473</v>
      </c>
      <c r="DM29" s="6">
        <f t="shared" si="77"/>
        <v>6.7385254146834087E-3</v>
      </c>
      <c r="DN29" s="72">
        <f t="shared" ca="1" si="78"/>
        <v>6.7384975211760307E-3</v>
      </c>
      <c r="DO29" s="73">
        <f t="shared" ca="1" si="79"/>
        <v>6378245.0883603953</v>
      </c>
      <c r="DP29" s="6">
        <f t="shared" si="80"/>
        <v>1.0050517725429551</v>
      </c>
      <c r="DQ29" s="6">
        <f t="shared" si="81"/>
        <v>-2.5311877419908228E-3</v>
      </c>
      <c r="DR29" s="6">
        <f t="shared" si="82"/>
        <v>2.6558601241364054E-6</v>
      </c>
      <c r="DS29" s="6">
        <f t="shared" si="83"/>
        <v>-3.4165783147131439E-9</v>
      </c>
      <c r="DT29" s="6">
        <f t="shared" si="93"/>
        <v>7</v>
      </c>
      <c r="DU29" s="6">
        <f t="shared" si="93"/>
        <v>0</v>
      </c>
      <c r="DV29" s="6">
        <f t="shared" si="93"/>
        <v>500000</v>
      </c>
      <c r="DW29" s="6">
        <f t="shared" si="93"/>
        <v>1</v>
      </c>
      <c r="DX29" s="74">
        <f t="shared" ca="1" si="84"/>
        <v>12890.030428976437</v>
      </c>
      <c r="DY29" s="58">
        <f t="shared" ca="1" si="85"/>
        <v>-305713.93034284032</v>
      </c>
      <c r="DZ29" s="64">
        <f t="shared" ca="1" si="86"/>
        <v>12904.939659140397</v>
      </c>
      <c r="EA29" s="66">
        <f t="shared" ca="1" si="87"/>
        <v>7194286.06965716</v>
      </c>
    </row>
    <row r="30" spans="1:13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53">
        <v>23</v>
      </c>
      <c r="U30" s="26"/>
      <c r="V30" s="26"/>
      <c r="W30" s="54"/>
      <c r="X30" s="55">
        <f t="shared" si="88"/>
        <v>1</v>
      </c>
      <c r="Y30" s="6">
        <f t="shared" si="88"/>
        <v>-12900</v>
      </c>
      <c r="Z30" s="6">
        <f t="shared" si="88"/>
        <v>250000</v>
      </c>
      <c r="AA30" s="6">
        <f t="shared" si="10"/>
        <v>0</v>
      </c>
      <c r="AB30" s="30">
        <f t="shared" si="8"/>
        <v>12900</v>
      </c>
      <c r="AC30" s="30">
        <f t="shared" si="9"/>
        <v>-250000</v>
      </c>
      <c r="AD30" s="6">
        <f t="shared" si="11"/>
        <v>38.5</v>
      </c>
      <c r="AE30" s="6">
        <f t="shared" si="11"/>
        <v>6378245</v>
      </c>
      <c r="AF30" s="6">
        <f t="shared" si="12"/>
        <v>6356863.0187730473</v>
      </c>
      <c r="AG30" s="6">
        <f t="shared" si="13"/>
        <v>3.352329869259135E-3</v>
      </c>
      <c r="AH30" s="8">
        <f t="shared" si="14"/>
        <v>6.6934216229658618E-3</v>
      </c>
      <c r="AI30" s="56">
        <f t="shared" si="15"/>
        <v>6.7385254146834087E-3</v>
      </c>
      <c r="AJ30" s="57">
        <f t="shared" si="16"/>
        <v>6378245.0883603953</v>
      </c>
      <c r="AK30" s="8">
        <f t="shared" si="17"/>
        <v>2.0361285582720838E-3</v>
      </c>
      <c r="AL30" s="8">
        <f t="shared" si="18"/>
        <v>6367558.4882606138</v>
      </c>
      <c r="AM30" s="8">
        <f t="shared" si="19"/>
        <v>16036.473376007938</v>
      </c>
      <c r="AN30" s="8">
        <f t="shared" si="20"/>
        <v>16.826341825445081</v>
      </c>
      <c r="AO30" s="8">
        <f t="shared" si="21"/>
        <v>2.1689203848674052E-2</v>
      </c>
      <c r="AP30" s="8">
        <f t="shared" si="22"/>
        <v>1.5704606433433228E-7</v>
      </c>
      <c r="AQ30" s="8">
        <f t="shared" si="23"/>
        <v>2.5184636976839014E-3</v>
      </c>
      <c r="AR30" s="8">
        <f t="shared" si="24"/>
        <v>3.70015534400603E-6</v>
      </c>
      <c r="AS30" s="8">
        <f t="shared" si="25"/>
        <v>7.4016654475384287E-9</v>
      </c>
      <c r="AT30" s="8">
        <f t="shared" si="26"/>
        <v>6378245.0884971283</v>
      </c>
      <c r="AU30" s="8">
        <f t="shared" si="27"/>
        <v>8.2088351658514316E-2</v>
      </c>
      <c r="AV30" s="8">
        <f t="shared" si="28"/>
        <v>2.0361313720839145E-3</v>
      </c>
      <c r="AW30" s="8">
        <f t="shared" si="29"/>
        <v>1.0067384974780118</v>
      </c>
      <c r="AX30" s="58">
        <f t="shared" si="30"/>
        <v>2.0345549675285794E-3</v>
      </c>
      <c r="AY30" s="59">
        <f t="shared" si="31"/>
        <v>0</v>
      </c>
      <c r="AZ30" s="60">
        <f t="shared" si="32"/>
        <v>6</v>
      </c>
      <c r="BA30" s="61">
        <f t="shared" si="33"/>
        <v>59.657086176349864</v>
      </c>
      <c r="BB30" s="56">
        <f t="shared" si="34"/>
        <v>0.11657141282676385</v>
      </c>
      <c r="BC30" s="56">
        <f t="shared" si="35"/>
        <v>-3.9185715631620689E-2</v>
      </c>
      <c r="BD30" s="56">
        <f t="shared" si="36"/>
        <v>0.63276604638619627</v>
      </c>
      <c r="BE30" s="56">
        <f t="shared" si="37"/>
        <v>36.254823877108315</v>
      </c>
      <c r="BF30" s="62">
        <f t="shared" si="38"/>
        <v>36</v>
      </c>
      <c r="BG30" s="60">
        <f t="shared" si="39"/>
        <v>15</v>
      </c>
      <c r="BH30" s="63">
        <f t="shared" si="40"/>
        <v>17.365957589933601</v>
      </c>
      <c r="BI30" s="64">
        <f t="shared" si="41"/>
        <v>5143373.1390186641</v>
      </c>
      <c r="BJ30" s="65">
        <f t="shared" si="42"/>
        <v>3771943.1014487948</v>
      </c>
      <c r="BK30" s="66">
        <f t="shared" si="43"/>
        <v>12890.021538123134</v>
      </c>
      <c r="BL30" s="55">
        <f t="shared" si="89"/>
        <v>23.92</v>
      </c>
      <c r="BM30" s="6">
        <f t="shared" si="89"/>
        <v>-141.27000000000001</v>
      </c>
      <c r="BN30" s="6">
        <f t="shared" si="89"/>
        <v>-80.900000000000006</v>
      </c>
      <c r="BO30" s="6">
        <f t="shared" si="89"/>
        <v>0</v>
      </c>
      <c r="BP30" s="6">
        <f t="shared" si="89"/>
        <v>-0.35</v>
      </c>
      <c r="BQ30" s="6">
        <f t="shared" si="89"/>
        <v>-0.82</v>
      </c>
      <c r="BR30" s="6">
        <f t="shared" si="90"/>
        <v>0</v>
      </c>
      <c r="BS30" s="6">
        <f t="shared" si="90"/>
        <v>-1.6968478838833759E-6</v>
      </c>
      <c r="BT30" s="6">
        <f t="shared" si="90"/>
        <v>-3.9754721850981945E-6</v>
      </c>
      <c r="BU30" s="67">
        <f t="shared" si="44"/>
        <v>-0.22</v>
      </c>
      <c r="BV30" s="59">
        <f t="shared" si="45"/>
        <v>5143380.9540973902</v>
      </c>
      <c r="BW30" s="60">
        <f t="shared" si="46"/>
        <v>3771821.4489536658</v>
      </c>
      <c r="BX30" s="68">
        <f t="shared" si="47"/>
        <v>12800.391182411484</v>
      </c>
      <c r="BY30" s="55">
        <f t="shared" si="91"/>
        <v>23.92</v>
      </c>
      <c r="BZ30" s="6">
        <f t="shared" si="91"/>
        <v>-141.27000000000001</v>
      </c>
      <c r="CA30" s="6">
        <f t="shared" si="91"/>
        <v>-80.900000000000006</v>
      </c>
      <c r="CB30" s="6">
        <f t="shared" si="91"/>
        <v>0</v>
      </c>
      <c r="CC30" s="6">
        <f t="shared" si="91"/>
        <v>-0.35</v>
      </c>
      <c r="CD30" s="6">
        <f t="shared" si="91"/>
        <v>-0.82</v>
      </c>
      <c r="CE30" s="6">
        <f t="shared" si="92"/>
        <v>0</v>
      </c>
      <c r="CF30" s="6">
        <f t="shared" si="92"/>
        <v>-1.6968478838833759E-6</v>
      </c>
      <c r="CG30" s="6">
        <f t="shared" si="92"/>
        <v>-3.9754721850981945E-6</v>
      </c>
      <c r="CH30" s="67">
        <f t="shared" si="48"/>
        <v>-0.22</v>
      </c>
      <c r="CI30" s="64">
        <f t="shared" si="49"/>
        <v>5143373.1386954347</v>
      </c>
      <c r="CJ30" s="65">
        <f t="shared" si="50"/>
        <v>3771943.1013819654</v>
      </c>
      <c r="CK30" s="66">
        <f t="shared" si="51"/>
        <v>12890.021535505568</v>
      </c>
      <c r="CL30" s="69">
        <f t="shared" si="52"/>
        <v>6378231.8869665386</v>
      </c>
      <c r="CM30" s="6">
        <f t="shared" si="53"/>
        <v>6378245</v>
      </c>
      <c r="CN30" s="6">
        <f t="shared" si="53"/>
        <v>3.352329869259135E-3</v>
      </c>
      <c r="CO30" s="9">
        <f t="shared" si="54"/>
        <v>6.6934216229659433E-3</v>
      </c>
      <c r="CP30" s="9">
        <f t="shared" si="55"/>
        <v>6378244.911930861</v>
      </c>
      <c r="CQ30" s="9">
        <f t="shared" si="56"/>
        <v>2.0209368702047577E-3</v>
      </c>
      <c r="CR30" s="9">
        <f t="shared" si="57"/>
        <v>3.3467108576934797E-3</v>
      </c>
      <c r="CS30" s="9">
        <f t="shared" ca="1" si="58"/>
        <v>1.3618097007062995E-5</v>
      </c>
      <c r="CT30" s="9">
        <f t="shared" ca="1" si="59"/>
        <v>2.0345549672118207E-3</v>
      </c>
      <c r="CU30" s="46">
        <f t="shared" ca="1" si="6"/>
        <v>1.3618097007062995E-5</v>
      </c>
      <c r="CV30" s="70">
        <f t="shared" ca="1" si="60"/>
        <v>0</v>
      </c>
      <c r="CW30" s="71">
        <f t="shared" ca="1" si="61"/>
        <v>2.0345549672118207E-3</v>
      </c>
      <c r="CX30" s="59">
        <f t="shared" ca="1" si="62"/>
        <v>0</v>
      </c>
      <c r="CY30" s="60">
        <f t="shared" ca="1" si="63"/>
        <v>6</v>
      </c>
      <c r="CZ30" s="61">
        <f t="shared" ca="1" si="64"/>
        <v>59.6571</v>
      </c>
      <c r="DA30" s="9">
        <f t="shared" ca="1" si="65"/>
        <v>0.11657141280861491</v>
      </c>
      <c r="DB30" s="9">
        <f t="shared" si="66"/>
        <v>0.63276604640771628</v>
      </c>
      <c r="DC30" s="9">
        <f t="shared" si="67"/>
        <v>0</v>
      </c>
      <c r="DD30" s="9">
        <f t="shared" si="68"/>
        <v>0.63276604640771628</v>
      </c>
      <c r="DE30" s="60">
        <f t="shared" si="69"/>
        <v>36</v>
      </c>
      <c r="DF30" s="60">
        <f t="shared" si="70"/>
        <v>15</v>
      </c>
      <c r="DG30" s="61">
        <f t="shared" si="71"/>
        <v>17.366</v>
      </c>
      <c r="DH30" s="9">
        <f t="shared" si="72"/>
        <v>36.254823878341327</v>
      </c>
      <c r="DI30" s="66">
        <f t="shared" ca="1" si="73"/>
        <v>-3.001755103468895E-4</v>
      </c>
      <c r="DJ30" s="55">
        <f t="shared" si="74"/>
        <v>39</v>
      </c>
      <c r="DK30" s="6">
        <f t="shared" si="75"/>
        <v>-4.7912361870072265E-2</v>
      </c>
      <c r="DL30" s="6">
        <f t="shared" si="76"/>
        <v>6356863.0187730473</v>
      </c>
      <c r="DM30" s="6">
        <f t="shared" si="77"/>
        <v>6.7385254146834087E-3</v>
      </c>
      <c r="DN30" s="72">
        <f t="shared" ca="1" si="78"/>
        <v>6.7384975211760307E-3</v>
      </c>
      <c r="DO30" s="73">
        <f t="shared" ca="1" si="79"/>
        <v>6378245.0883603953</v>
      </c>
      <c r="DP30" s="6">
        <f t="shared" si="80"/>
        <v>1.0050517725429551</v>
      </c>
      <c r="DQ30" s="6">
        <f t="shared" si="81"/>
        <v>-2.5311877419908228E-3</v>
      </c>
      <c r="DR30" s="6">
        <f t="shared" si="82"/>
        <v>2.6558601241364054E-6</v>
      </c>
      <c r="DS30" s="6">
        <f t="shared" si="83"/>
        <v>-3.4165783147131439E-9</v>
      </c>
      <c r="DT30" s="6">
        <f t="shared" si="93"/>
        <v>7</v>
      </c>
      <c r="DU30" s="6">
        <f t="shared" si="93"/>
        <v>0</v>
      </c>
      <c r="DV30" s="6">
        <f t="shared" si="93"/>
        <v>500000</v>
      </c>
      <c r="DW30" s="6">
        <f t="shared" si="93"/>
        <v>1</v>
      </c>
      <c r="DX30" s="74">
        <f t="shared" ca="1" si="84"/>
        <v>12890.030428976437</v>
      </c>
      <c r="DY30" s="58">
        <f t="shared" ca="1" si="85"/>
        <v>-305713.93034284032</v>
      </c>
      <c r="DZ30" s="64">
        <f t="shared" ca="1" si="86"/>
        <v>12904.939659140397</v>
      </c>
      <c r="EA30" s="66">
        <f t="shared" ca="1" si="87"/>
        <v>7194286.06965716</v>
      </c>
    </row>
    <row r="31" spans="1:13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T31" s="53">
        <v>24</v>
      </c>
      <c r="U31" s="26"/>
      <c r="V31" s="26"/>
      <c r="W31" s="54"/>
      <c r="X31" s="55">
        <f t="shared" si="88"/>
        <v>1</v>
      </c>
      <c r="Y31" s="6">
        <f t="shared" si="88"/>
        <v>-12900</v>
      </c>
      <c r="Z31" s="6">
        <f t="shared" si="88"/>
        <v>250000</v>
      </c>
      <c r="AA31" s="6">
        <f t="shared" si="10"/>
        <v>0</v>
      </c>
      <c r="AB31" s="30">
        <f t="shared" si="8"/>
        <v>12900</v>
      </c>
      <c r="AC31" s="30">
        <f t="shared" si="9"/>
        <v>-250000</v>
      </c>
      <c r="AD31" s="6">
        <f t="shared" si="11"/>
        <v>38.5</v>
      </c>
      <c r="AE31" s="6">
        <f t="shared" si="11"/>
        <v>6378245</v>
      </c>
      <c r="AF31" s="6">
        <f t="shared" si="12"/>
        <v>6356863.0187730473</v>
      </c>
      <c r="AG31" s="6">
        <f t="shared" si="13"/>
        <v>3.352329869259135E-3</v>
      </c>
      <c r="AH31" s="8">
        <f t="shared" si="14"/>
        <v>6.6934216229658618E-3</v>
      </c>
      <c r="AI31" s="56">
        <f t="shared" si="15"/>
        <v>6.7385254146834087E-3</v>
      </c>
      <c r="AJ31" s="57">
        <f t="shared" si="16"/>
        <v>6378245.0883603953</v>
      </c>
      <c r="AK31" s="8">
        <f t="shared" si="17"/>
        <v>2.0361285582720838E-3</v>
      </c>
      <c r="AL31" s="8">
        <f t="shared" si="18"/>
        <v>6367558.4882606138</v>
      </c>
      <c r="AM31" s="8">
        <f t="shared" si="19"/>
        <v>16036.473376007938</v>
      </c>
      <c r="AN31" s="8">
        <f t="shared" si="20"/>
        <v>16.826341825445081</v>
      </c>
      <c r="AO31" s="8">
        <f t="shared" si="21"/>
        <v>2.1689203848674052E-2</v>
      </c>
      <c r="AP31" s="8">
        <f t="shared" si="22"/>
        <v>1.5704606433433228E-7</v>
      </c>
      <c r="AQ31" s="8">
        <f t="shared" si="23"/>
        <v>2.5184636976839014E-3</v>
      </c>
      <c r="AR31" s="8">
        <f t="shared" si="24"/>
        <v>3.70015534400603E-6</v>
      </c>
      <c r="AS31" s="8">
        <f t="shared" si="25"/>
        <v>7.4016654475384287E-9</v>
      </c>
      <c r="AT31" s="8">
        <f t="shared" si="26"/>
        <v>6378245.0884971283</v>
      </c>
      <c r="AU31" s="8">
        <f t="shared" si="27"/>
        <v>8.2088351658514316E-2</v>
      </c>
      <c r="AV31" s="8">
        <f t="shared" si="28"/>
        <v>2.0361313720839145E-3</v>
      </c>
      <c r="AW31" s="8">
        <f t="shared" si="29"/>
        <v>1.0067384974780118</v>
      </c>
      <c r="AX31" s="58">
        <f t="shared" si="30"/>
        <v>2.0345549675285794E-3</v>
      </c>
      <c r="AY31" s="59">
        <f t="shared" si="31"/>
        <v>0</v>
      </c>
      <c r="AZ31" s="60">
        <f t="shared" si="32"/>
        <v>6</v>
      </c>
      <c r="BA31" s="61">
        <f t="shared" si="33"/>
        <v>59.657086176349864</v>
      </c>
      <c r="BB31" s="56">
        <f t="shared" si="34"/>
        <v>0.11657141282676385</v>
      </c>
      <c r="BC31" s="56">
        <f t="shared" si="35"/>
        <v>-3.9185715631620689E-2</v>
      </c>
      <c r="BD31" s="56">
        <f t="shared" si="36"/>
        <v>0.63276604638619627</v>
      </c>
      <c r="BE31" s="56">
        <f t="shared" si="37"/>
        <v>36.254823877108315</v>
      </c>
      <c r="BF31" s="62">
        <f t="shared" si="38"/>
        <v>36</v>
      </c>
      <c r="BG31" s="60">
        <f t="shared" si="39"/>
        <v>15</v>
      </c>
      <c r="BH31" s="63">
        <f t="shared" si="40"/>
        <v>17.365957589933601</v>
      </c>
      <c r="BI31" s="64">
        <f t="shared" si="41"/>
        <v>5143373.1390186641</v>
      </c>
      <c r="BJ31" s="65">
        <f t="shared" si="42"/>
        <v>3771943.1014487948</v>
      </c>
      <c r="BK31" s="66">
        <f t="shared" si="43"/>
        <v>12890.021538123134</v>
      </c>
      <c r="BL31" s="55">
        <f t="shared" si="89"/>
        <v>23.92</v>
      </c>
      <c r="BM31" s="6">
        <f t="shared" si="89"/>
        <v>-141.27000000000001</v>
      </c>
      <c r="BN31" s="6">
        <f t="shared" si="89"/>
        <v>-80.900000000000006</v>
      </c>
      <c r="BO31" s="6">
        <f t="shared" si="89"/>
        <v>0</v>
      </c>
      <c r="BP31" s="6">
        <f t="shared" si="89"/>
        <v>-0.35</v>
      </c>
      <c r="BQ31" s="6">
        <f t="shared" si="89"/>
        <v>-0.82</v>
      </c>
      <c r="BR31" s="6">
        <f t="shared" si="90"/>
        <v>0</v>
      </c>
      <c r="BS31" s="6">
        <f t="shared" si="90"/>
        <v>-1.6968478838833759E-6</v>
      </c>
      <c r="BT31" s="6">
        <f t="shared" si="90"/>
        <v>-3.9754721850981945E-6</v>
      </c>
      <c r="BU31" s="67">
        <f t="shared" si="44"/>
        <v>-0.22</v>
      </c>
      <c r="BV31" s="59">
        <f t="shared" si="45"/>
        <v>5143380.9540973902</v>
      </c>
      <c r="BW31" s="60">
        <f t="shared" si="46"/>
        <v>3771821.4489536658</v>
      </c>
      <c r="BX31" s="68">
        <f t="shared" si="47"/>
        <v>12800.391182411484</v>
      </c>
      <c r="BY31" s="55">
        <f t="shared" si="91"/>
        <v>23.92</v>
      </c>
      <c r="BZ31" s="6">
        <f t="shared" si="91"/>
        <v>-141.27000000000001</v>
      </c>
      <c r="CA31" s="6">
        <f t="shared" si="91"/>
        <v>-80.900000000000006</v>
      </c>
      <c r="CB31" s="6">
        <f t="shared" si="91"/>
        <v>0</v>
      </c>
      <c r="CC31" s="6">
        <f t="shared" si="91"/>
        <v>-0.35</v>
      </c>
      <c r="CD31" s="6">
        <f t="shared" si="91"/>
        <v>-0.82</v>
      </c>
      <c r="CE31" s="6">
        <f t="shared" si="92"/>
        <v>0</v>
      </c>
      <c r="CF31" s="6">
        <f t="shared" si="92"/>
        <v>-1.6968478838833759E-6</v>
      </c>
      <c r="CG31" s="6">
        <f t="shared" si="92"/>
        <v>-3.9754721850981945E-6</v>
      </c>
      <c r="CH31" s="67">
        <f t="shared" si="48"/>
        <v>-0.22</v>
      </c>
      <c r="CI31" s="64">
        <f t="shared" si="49"/>
        <v>5143373.1386954347</v>
      </c>
      <c r="CJ31" s="65">
        <f t="shared" si="50"/>
        <v>3771943.1013819654</v>
      </c>
      <c r="CK31" s="66">
        <f t="shared" si="51"/>
        <v>12890.021535505568</v>
      </c>
      <c r="CL31" s="69">
        <f t="shared" si="52"/>
        <v>6378231.8869665386</v>
      </c>
      <c r="CM31" s="6">
        <f t="shared" si="53"/>
        <v>6378245</v>
      </c>
      <c r="CN31" s="6">
        <f t="shared" si="53"/>
        <v>3.352329869259135E-3</v>
      </c>
      <c r="CO31" s="9">
        <f t="shared" si="54"/>
        <v>6.6934216229659433E-3</v>
      </c>
      <c r="CP31" s="9">
        <f t="shared" si="55"/>
        <v>6378244.911930861</v>
      </c>
      <c r="CQ31" s="9">
        <f t="shared" si="56"/>
        <v>2.0209368702047577E-3</v>
      </c>
      <c r="CR31" s="9">
        <f t="shared" si="57"/>
        <v>3.3467108576934797E-3</v>
      </c>
      <c r="CS31" s="9">
        <f t="shared" ca="1" si="58"/>
        <v>1.3618097007062995E-5</v>
      </c>
      <c r="CT31" s="9">
        <f t="shared" ca="1" si="59"/>
        <v>2.0345549672118207E-3</v>
      </c>
      <c r="CU31" s="46">
        <f t="shared" ca="1" si="6"/>
        <v>1.3618097007062995E-5</v>
      </c>
      <c r="CV31" s="70">
        <f t="shared" ca="1" si="60"/>
        <v>0</v>
      </c>
      <c r="CW31" s="71">
        <f t="shared" ca="1" si="61"/>
        <v>2.0345549672118207E-3</v>
      </c>
      <c r="CX31" s="59">
        <f t="shared" ca="1" si="62"/>
        <v>0</v>
      </c>
      <c r="CY31" s="60">
        <f t="shared" ca="1" si="63"/>
        <v>6</v>
      </c>
      <c r="CZ31" s="61">
        <f t="shared" ca="1" si="64"/>
        <v>59.6571</v>
      </c>
      <c r="DA31" s="6">
        <f t="shared" ca="1" si="65"/>
        <v>0.11657141280861491</v>
      </c>
      <c r="DB31" s="6">
        <f t="shared" si="66"/>
        <v>0.63276604640771628</v>
      </c>
      <c r="DC31" s="6">
        <f t="shared" si="67"/>
        <v>0</v>
      </c>
      <c r="DD31" s="6">
        <f t="shared" si="68"/>
        <v>0.63276604640771628</v>
      </c>
      <c r="DE31" s="60">
        <f t="shared" si="69"/>
        <v>36</v>
      </c>
      <c r="DF31" s="60">
        <f t="shared" si="70"/>
        <v>15</v>
      </c>
      <c r="DG31" s="61">
        <f t="shared" si="71"/>
        <v>17.366</v>
      </c>
      <c r="DH31" s="6">
        <f t="shared" si="72"/>
        <v>36.254823878341327</v>
      </c>
      <c r="DI31" s="66">
        <f t="shared" ca="1" si="73"/>
        <v>-3.001755103468895E-4</v>
      </c>
      <c r="DJ31" s="55">
        <f t="shared" si="74"/>
        <v>39</v>
      </c>
      <c r="DK31" s="6">
        <f t="shared" si="75"/>
        <v>-4.7912361870072265E-2</v>
      </c>
      <c r="DL31" s="6">
        <f t="shared" si="76"/>
        <v>6356863.0187730473</v>
      </c>
      <c r="DM31" s="6">
        <f t="shared" si="77"/>
        <v>6.7385254146834087E-3</v>
      </c>
      <c r="DN31" s="72">
        <f t="shared" ca="1" si="78"/>
        <v>6.7384975211760307E-3</v>
      </c>
      <c r="DO31" s="73">
        <f t="shared" ca="1" si="79"/>
        <v>6378245.0883603953</v>
      </c>
      <c r="DP31" s="6">
        <f t="shared" si="80"/>
        <v>1.0050517725429551</v>
      </c>
      <c r="DQ31" s="6">
        <f t="shared" si="81"/>
        <v>-2.5311877419908228E-3</v>
      </c>
      <c r="DR31" s="6">
        <f t="shared" si="82"/>
        <v>2.6558601241364054E-6</v>
      </c>
      <c r="DS31" s="6">
        <f t="shared" si="83"/>
        <v>-3.4165783147131439E-9</v>
      </c>
      <c r="DT31" s="6">
        <f t="shared" si="93"/>
        <v>7</v>
      </c>
      <c r="DU31" s="6">
        <f t="shared" si="93"/>
        <v>0</v>
      </c>
      <c r="DV31" s="6">
        <f t="shared" si="93"/>
        <v>500000</v>
      </c>
      <c r="DW31" s="6">
        <f t="shared" si="93"/>
        <v>1</v>
      </c>
      <c r="DX31" s="74">
        <f t="shared" ca="1" si="84"/>
        <v>12890.030428976437</v>
      </c>
      <c r="DY31" s="58">
        <f t="shared" ca="1" si="85"/>
        <v>-305713.93034284032</v>
      </c>
      <c r="DZ31" s="64">
        <f t="shared" ca="1" si="86"/>
        <v>12904.939659140397</v>
      </c>
      <c r="EA31" s="66">
        <f t="shared" ca="1" si="87"/>
        <v>7194286.06965716</v>
      </c>
    </row>
    <row r="32" spans="1:13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T32" s="53">
        <v>25</v>
      </c>
      <c r="U32" s="26"/>
      <c r="V32" s="26"/>
      <c r="W32" s="54"/>
      <c r="X32" s="55">
        <f t="shared" si="88"/>
        <v>1</v>
      </c>
      <c r="Y32" s="6">
        <f t="shared" si="88"/>
        <v>-12900</v>
      </c>
      <c r="Z32" s="6">
        <f t="shared" si="88"/>
        <v>250000</v>
      </c>
      <c r="AA32" s="6">
        <f t="shared" si="10"/>
        <v>0</v>
      </c>
      <c r="AB32" s="30">
        <f t="shared" si="8"/>
        <v>12900</v>
      </c>
      <c r="AC32" s="30">
        <f t="shared" si="9"/>
        <v>-250000</v>
      </c>
      <c r="AD32" s="6">
        <f t="shared" si="11"/>
        <v>38.5</v>
      </c>
      <c r="AE32" s="6">
        <f t="shared" si="11"/>
        <v>6378245</v>
      </c>
      <c r="AF32" s="6">
        <f t="shared" si="12"/>
        <v>6356863.0187730473</v>
      </c>
      <c r="AG32" s="6">
        <f t="shared" si="13"/>
        <v>3.352329869259135E-3</v>
      </c>
      <c r="AH32" s="8">
        <f t="shared" si="14"/>
        <v>6.6934216229658618E-3</v>
      </c>
      <c r="AI32" s="56">
        <f t="shared" si="15"/>
        <v>6.7385254146834087E-3</v>
      </c>
      <c r="AJ32" s="57">
        <f t="shared" si="16"/>
        <v>6378245.0883603953</v>
      </c>
      <c r="AK32" s="8">
        <f t="shared" si="17"/>
        <v>2.0361285582720838E-3</v>
      </c>
      <c r="AL32" s="8">
        <f t="shared" si="18"/>
        <v>6367558.4882606138</v>
      </c>
      <c r="AM32" s="8">
        <f t="shared" si="19"/>
        <v>16036.473376007938</v>
      </c>
      <c r="AN32" s="8">
        <f t="shared" si="20"/>
        <v>16.826341825445081</v>
      </c>
      <c r="AO32" s="8">
        <f t="shared" si="21"/>
        <v>2.1689203848674052E-2</v>
      </c>
      <c r="AP32" s="8">
        <f t="shared" si="22"/>
        <v>1.5704606433433228E-7</v>
      </c>
      <c r="AQ32" s="8">
        <f t="shared" si="23"/>
        <v>2.5184636976839014E-3</v>
      </c>
      <c r="AR32" s="8">
        <f t="shared" si="24"/>
        <v>3.70015534400603E-6</v>
      </c>
      <c r="AS32" s="8">
        <f t="shared" si="25"/>
        <v>7.4016654475384287E-9</v>
      </c>
      <c r="AT32" s="8">
        <f t="shared" si="26"/>
        <v>6378245.0884971283</v>
      </c>
      <c r="AU32" s="8">
        <f t="shared" si="27"/>
        <v>8.2088351658514316E-2</v>
      </c>
      <c r="AV32" s="8">
        <f t="shared" si="28"/>
        <v>2.0361313720839145E-3</v>
      </c>
      <c r="AW32" s="8">
        <f t="shared" si="29"/>
        <v>1.0067384974780118</v>
      </c>
      <c r="AX32" s="58">
        <f t="shared" si="30"/>
        <v>2.0345549675285794E-3</v>
      </c>
      <c r="AY32" s="59">
        <f t="shared" si="31"/>
        <v>0</v>
      </c>
      <c r="AZ32" s="60">
        <f t="shared" si="32"/>
        <v>6</v>
      </c>
      <c r="BA32" s="61">
        <f t="shared" si="33"/>
        <v>59.657086176349864</v>
      </c>
      <c r="BB32" s="56">
        <f t="shared" si="34"/>
        <v>0.11657141282676385</v>
      </c>
      <c r="BC32" s="56">
        <f t="shared" si="35"/>
        <v>-3.9185715631620689E-2</v>
      </c>
      <c r="BD32" s="56">
        <f t="shared" si="36"/>
        <v>0.63276604638619627</v>
      </c>
      <c r="BE32" s="56">
        <f t="shared" si="37"/>
        <v>36.254823877108315</v>
      </c>
      <c r="BF32" s="62">
        <f t="shared" si="38"/>
        <v>36</v>
      </c>
      <c r="BG32" s="60">
        <f t="shared" si="39"/>
        <v>15</v>
      </c>
      <c r="BH32" s="63">
        <f t="shared" si="40"/>
        <v>17.365957589933601</v>
      </c>
      <c r="BI32" s="64">
        <f t="shared" si="41"/>
        <v>5143373.1390186641</v>
      </c>
      <c r="BJ32" s="65">
        <f t="shared" si="42"/>
        <v>3771943.1014487948</v>
      </c>
      <c r="BK32" s="66">
        <f t="shared" si="43"/>
        <v>12890.021538123134</v>
      </c>
      <c r="BL32" s="55">
        <f t="shared" si="89"/>
        <v>23.92</v>
      </c>
      <c r="BM32" s="6">
        <f t="shared" si="89"/>
        <v>-141.27000000000001</v>
      </c>
      <c r="BN32" s="6">
        <f t="shared" si="89"/>
        <v>-80.900000000000006</v>
      </c>
      <c r="BO32" s="6">
        <f t="shared" si="89"/>
        <v>0</v>
      </c>
      <c r="BP32" s="6">
        <f t="shared" si="89"/>
        <v>-0.35</v>
      </c>
      <c r="BQ32" s="6">
        <f t="shared" si="89"/>
        <v>-0.82</v>
      </c>
      <c r="BR32" s="6">
        <f t="shared" si="90"/>
        <v>0</v>
      </c>
      <c r="BS32" s="6">
        <f t="shared" si="90"/>
        <v>-1.6968478838833759E-6</v>
      </c>
      <c r="BT32" s="6">
        <f t="shared" si="90"/>
        <v>-3.9754721850981945E-6</v>
      </c>
      <c r="BU32" s="67">
        <f t="shared" si="44"/>
        <v>-0.22</v>
      </c>
      <c r="BV32" s="59">
        <f t="shared" si="45"/>
        <v>5143380.9540973902</v>
      </c>
      <c r="BW32" s="60">
        <f t="shared" si="46"/>
        <v>3771821.4489536658</v>
      </c>
      <c r="BX32" s="68">
        <f t="shared" si="47"/>
        <v>12800.391182411484</v>
      </c>
      <c r="BY32" s="55">
        <f t="shared" si="91"/>
        <v>23.92</v>
      </c>
      <c r="BZ32" s="6">
        <f t="shared" si="91"/>
        <v>-141.27000000000001</v>
      </c>
      <c r="CA32" s="6">
        <f t="shared" si="91"/>
        <v>-80.900000000000006</v>
      </c>
      <c r="CB32" s="6">
        <f t="shared" si="91"/>
        <v>0</v>
      </c>
      <c r="CC32" s="6">
        <f t="shared" si="91"/>
        <v>-0.35</v>
      </c>
      <c r="CD32" s="6">
        <f t="shared" si="91"/>
        <v>-0.82</v>
      </c>
      <c r="CE32" s="6">
        <f t="shared" si="92"/>
        <v>0</v>
      </c>
      <c r="CF32" s="6">
        <f t="shared" si="92"/>
        <v>-1.6968478838833759E-6</v>
      </c>
      <c r="CG32" s="6">
        <f t="shared" si="92"/>
        <v>-3.9754721850981945E-6</v>
      </c>
      <c r="CH32" s="67">
        <f t="shared" si="48"/>
        <v>-0.22</v>
      </c>
      <c r="CI32" s="64">
        <f t="shared" si="49"/>
        <v>5143373.1386954347</v>
      </c>
      <c r="CJ32" s="65">
        <f t="shared" si="50"/>
        <v>3771943.1013819654</v>
      </c>
      <c r="CK32" s="66">
        <f t="shared" si="51"/>
        <v>12890.021535505568</v>
      </c>
      <c r="CL32" s="69">
        <f t="shared" si="52"/>
        <v>6378231.8869665386</v>
      </c>
      <c r="CM32" s="6">
        <f t="shared" si="53"/>
        <v>6378245</v>
      </c>
      <c r="CN32" s="6">
        <f t="shared" si="53"/>
        <v>3.352329869259135E-3</v>
      </c>
      <c r="CO32" s="9">
        <f t="shared" si="54"/>
        <v>6.6934216229659433E-3</v>
      </c>
      <c r="CP32" s="9">
        <f t="shared" si="55"/>
        <v>6378244.911930861</v>
      </c>
      <c r="CQ32" s="9">
        <f t="shared" si="56"/>
        <v>2.0209368702047577E-3</v>
      </c>
      <c r="CR32" s="9">
        <f t="shared" si="57"/>
        <v>3.3467108576934797E-3</v>
      </c>
      <c r="CS32" s="9">
        <f t="shared" ca="1" si="58"/>
        <v>1.3618097007062995E-5</v>
      </c>
      <c r="CT32" s="9">
        <f t="shared" ca="1" si="59"/>
        <v>2.0345549672118207E-3</v>
      </c>
      <c r="CU32" s="46">
        <f t="shared" ca="1" si="6"/>
        <v>1.3618097007062995E-5</v>
      </c>
      <c r="CV32" s="70">
        <f t="shared" ca="1" si="60"/>
        <v>0</v>
      </c>
      <c r="CW32" s="71">
        <f t="shared" ca="1" si="61"/>
        <v>2.0345549672118207E-3</v>
      </c>
      <c r="CX32" s="59">
        <f t="shared" ca="1" si="62"/>
        <v>0</v>
      </c>
      <c r="CY32" s="60">
        <f t="shared" ca="1" si="63"/>
        <v>6</v>
      </c>
      <c r="CZ32" s="61">
        <f t="shared" ca="1" si="64"/>
        <v>59.6571</v>
      </c>
      <c r="DA32" s="6">
        <f t="shared" ca="1" si="65"/>
        <v>0.11657141280861491</v>
      </c>
      <c r="DB32" s="6">
        <f t="shared" si="66"/>
        <v>0.63276604640771628</v>
      </c>
      <c r="DC32" s="6">
        <f t="shared" si="67"/>
        <v>0</v>
      </c>
      <c r="DD32" s="6">
        <f t="shared" si="68"/>
        <v>0.63276604640771628</v>
      </c>
      <c r="DE32" s="60">
        <f t="shared" si="69"/>
        <v>36</v>
      </c>
      <c r="DF32" s="60">
        <f t="shared" si="70"/>
        <v>15</v>
      </c>
      <c r="DG32" s="61">
        <f t="shared" si="71"/>
        <v>17.366</v>
      </c>
      <c r="DH32" s="6">
        <f t="shared" si="72"/>
        <v>36.254823878341327</v>
      </c>
      <c r="DI32" s="66">
        <f t="shared" ca="1" si="73"/>
        <v>-3.001755103468895E-4</v>
      </c>
      <c r="DJ32" s="55">
        <f t="shared" si="74"/>
        <v>39</v>
      </c>
      <c r="DK32" s="6">
        <f t="shared" si="75"/>
        <v>-4.7912361870072265E-2</v>
      </c>
      <c r="DL32" s="6">
        <f t="shared" si="76"/>
        <v>6356863.0187730473</v>
      </c>
      <c r="DM32" s="6">
        <f t="shared" si="77"/>
        <v>6.7385254146834087E-3</v>
      </c>
      <c r="DN32" s="72">
        <f t="shared" ca="1" si="78"/>
        <v>6.7384975211760307E-3</v>
      </c>
      <c r="DO32" s="73">
        <f t="shared" ca="1" si="79"/>
        <v>6378245.0883603953</v>
      </c>
      <c r="DP32" s="6">
        <f t="shared" si="80"/>
        <v>1.0050517725429551</v>
      </c>
      <c r="DQ32" s="6">
        <f t="shared" si="81"/>
        <v>-2.5311877419908228E-3</v>
      </c>
      <c r="DR32" s="6">
        <f t="shared" si="82"/>
        <v>2.6558601241364054E-6</v>
      </c>
      <c r="DS32" s="6">
        <f t="shared" si="83"/>
        <v>-3.4165783147131439E-9</v>
      </c>
      <c r="DT32" s="6">
        <f t="shared" si="93"/>
        <v>7</v>
      </c>
      <c r="DU32" s="6">
        <f t="shared" si="93"/>
        <v>0</v>
      </c>
      <c r="DV32" s="6">
        <f t="shared" si="93"/>
        <v>500000</v>
      </c>
      <c r="DW32" s="6">
        <f t="shared" si="93"/>
        <v>1</v>
      </c>
      <c r="DX32" s="74">
        <f t="shared" ca="1" si="84"/>
        <v>12890.030428976437</v>
      </c>
      <c r="DY32" s="58">
        <f t="shared" ca="1" si="85"/>
        <v>-305713.93034284032</v>
      </c>
      <c r="DZ32" s="64">
        <f t="shared" ca="1" si="86"/>
        <v>12904.939659140397</v>
      </c>
      <c r="EA32" s="66">
        <f t="shared" ca="1" si="87"/>
        <v>7194286.06965716</v>
      </c>
    </row>
    <row r="33" spans="1:13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T33" s="53">
        <v>26</v>
      </c>
      <c r="U33" s="26"/>
      <c r="V33" s="26"/>
      <c r="W33" s="54"/>
      <c r="X33" s="55">
        <f t="shared" si="88"/>
        <v>1</v>
      </c>
      <c r="Y33" s="6">
        <f t="shared" si="88"/>
        <v>-12900</v>
      </c>
      <c r="Z33" s="6">
        <f t="shared" si="88"/>
        <v>250000</v>
      </c>
      <c r="AA33" s="6">
        <f t="shared" si="10"/>
        <v>0</v>
      </c>
      <c r="AB33" s="30">
        <f t="shared" si="8"/>
        <v>12900</v>
      </c>
      <c r="AC33" s="30">
        <f t="shared" si="9"/>
        <v>-250000</v>
      </c>
      <c r="AD33" s="6">
        <f t="shared" si="11"/>
        <v>38.5</v>
      </c>
      <c r="AE33" s="6">
        <f t="shared" si="11"/>
        <v>6378245</v>
      </c>
      <c r="AF33" s="6">
        <f t="shared" si="12"/>
        <v>6356863.0187730473</v>
      </c>
      <c r="AG33" s="6">
        <f t="shared" si="13"/>
        <v>3.352329869259135E-3</v>
      </c>
      <c r="AH33" s="8">
        <f t="shared" si="14"/>
        <v>6.6934216229658618E-3</v>
      </c>
      <c r="AI33" s="56">
        <f t="shared" si="15"/>
        <v>6.7385254146834087E-3</v>
      </c>
      <c r="AJ33" s="57">
        <f t="shared" si="16"/>
        <v>6378245.0883603953</v>
      </c>
      <c r="AK33" s="8">
        <f t="shared" si="17"/>
        <v>2.0361285582720838E-3</v>
      </c>
      <c r="AL33" s="8">
        <f t="shared" si="18"/>
        <v>6367558.4882606138</v>
      </c>
      <c r="AM33" s="8">
        <f t="shared" si="19"/>
        <v>16036.473376007938</v>
      </c>
      <c r="AN33" s="8">
        <f t="shared" si="20"/>
        <v>16.826341825445081</v>
      </c>
      <c r="AO33" s="8">
        <f t="shared" si="21"/>
        <v>2.1689203848674052E-2</v>
      </c>
      <c r="AP33" s="8">
        <f t="shared" si="22"/>
        <v>1.5704606433433228E-7</v>
      </c>
      <c r="AQ33" s="8">
        <f t="shared" si="23"/>
        <v>2.5184636976839014E-3</v>
      </c>
      <c r="AR33" s="8">
        <f t="shared" si="24"/>
        <v>3.70015534400603E-6</v>
      </c>
      <c r="AS33" s="8">
        <f t="shared" si="25"/>
        <v>7.4016654475384287E-9</v>
      </c>
      <c r="AT33" s="8">
        <f t="shared" si="26"/>
        <v>6378245.0884971283</v>
      </c>
      <c r="AU33" s="8">
        <f t="shared" si="27"/>
        <v>8.2088351658514316E-2</v>
      </c>
      <c r="AV33" s="8">
        <f t="shared" si="28"/>
        <v>2.0361313720839145E-3</v>
      </c>
      <c r="AW33" s="8">
        <f t="shared" si="29"/>
        <v>1.0067384974780118</v>
      </c>
      <c r="AX33" s="58">
        <f t="shared" si="30"/>
        <v>2.0345549675285794E-3</v>
      </c>
      <c r="AY33" s="59">
        <f t="shared" si="31"/>
        <v>0</v>
      </c>
      <c r="AZ33" s="60">
        <f t="shared" si="32"/>
        <v>6</v>
      </c>
      <c r="BA33" s="61">
        <f t="shared" si="33"/>
        <v>59.657086176349864</v>
      </c>
      <c r="BB33" s="56">
        <f t="shared" si="34"/>
        <v>0.11657141282676385</v>
      </c>
      <c r="BC33" s="56">
        <f t="shared" si="35"/>
        <v>-3.9185715631620689E-2</v>
      </c>
      <c r="BD33" s="56">
        <f t="shared" si="36"/>
        <v>0.63276604638619627</v>
      </c>
      <c r="BE33" s="56">
        <f t="shared" si="37"/>
        <v>36.254823877108315</v>
      </c>
      <c r="BF33" s="62">
        <f t="shared" si="38"/>
        <v>36</v>
      </c>
      <c r="BG33" s="60">
        <f t="shared" si="39"/>
        <v>15</v>
      </c>
      <c r="BH33" s="63">
        <f t="shared" si="40"/>
        <v>17.365957589933601</v>
      </c>
      <c r="BI33" s="64">
        <f t="shared" si="41"/>
        <v>5143373.1390186641</v>
      </c>
      <c r="BJ33" s="65">
        <f t="shared" si="42"/>
        <v>3771943.1014487948</v>
      </c>
      <c r="BK33" s="66">
        <f t="shared" si="43"/>
        <v>12890.021538123134</v>
      </c>
      <c r="BL33" s="55">
        <f t="shared" si="89"/>
        <v>23.92</v>
      </c>
      <c r="BM33" s="6">
        <f t="shared" si="89"/>
        <v>-141.27000000000001</v>
      </c>
      <c r="BN33" s="6">
        <f t="shared" si="89"/>
        <v>-80.900000000000006</v>
      </c>
      <c r="BO33" s="6">
        <f t="shared" si="89"/>
        <v>0</v>
      </c>
      <c r="BP33" s="6">
        <f t="shared" si="89"/>
        <v>-0.35</v>
      </c>
      <c r="BQ33" s="6">
        <f t="shared" si="89"/>
        <v>-0.82</v>
      </c>
      <c r="BR33" s="6">
        <f t="shared" si="90"/>
        <v>0</v>
      </c>
      <c r="BS33" s="6">
        <f t="shared" si="90"/>
        <v>-1.6968478838833759E-6</v>
      </c>
      <c r="BT33" s="6">
        <f t="shared" si="90"/>
        <v>-3.9754721850981945E-6</v>
      </c>
      <c r="BU33" s="67">
        <f t="shared" si="44"/>
        <v>-0.22</v>
      </c>
      <c r="BV33" s="59">
        <f t="shared" si="45"/>
        <v>5143380.9540973902</v>
      </c>
      <c r="BW33" s="60">
        <f t="shared" si="46"/>
        <v>3771821.4489536658</v>
      </c>
      <c r="BX33" s="68">
        <f t="shared" si="47"/>
        <v>12800.391182411484</v>
      </c>
      <c r="BY33" s="55">
        <f t="shared" si="91"/>
        <v>23.92</v>
      </c>
      <c r="BZ33" s="6">
        <f t="shared" si="91"/>
        <v>-141.27000000000001</v>
      </c>
      <c r="CA33" s="6">
        <f t="shared" si="91"/>
        <v>-80.900000000000006</v>
      </c>
      <c r="CB33" s="6">
        <f t="shared" si="91"/>
        <v>0</v>
      </c>
      <c r="CC33" s="6">
        <f t="shared" si="91"/>
        <v>-0.35</v>
      </c>
      <c r="CD33" s="6">
        <f t="shared" si="91"/>
        <v>-0.82</v>
      </c>
      <c r="CE33" s="6">
        <f t="shared" si="92"/>
        <v>0</v>
      </c>
      <c r="CF33" s="6">
        <f t="shared" si="92"/>
        <v>-1.6968478838833759E-6</v>
      </c>
      <c r="CG33" s="6">
        <f t="shared" si="92"/>
        <v>-3.9754721850981945E-6</v>
      </c>
      <c r="CH33" s="67">
        <f t="shared" si="48"/>
        <v>-0.22</v>
      </c>
      <c r="CI33" s="64">
        <f t="shared" si="49"/>
        <v>5143373.1386954347</v>
      </c>
      <c r="CJ33" s="65">
        <f t="shared" si="50"/>
        <v>3771943.1013819654</v>
      </c>
      <c r="CK33" s="66">
        <f t="shared" si="51"/>
        <v>12890.021535505568</v>
      </c>
      <c r="CL33" s="69">
        <f t="shared" si="52"/>
        <v>6378231.8869665386</v>
      </c>
      <c r="CM33" s="6">
        <f t="shared" si="53"/>
        <v>6378245</v>
      </c>
      <c r="CN33" s="6">
        <f t="shared" si="53"/>
        <v>3.352329869259135E-3</v>
      </c>
      <c r="CO33" s="9">
        <f t="shared" si="54"/>
        <v>6.6934216229659433E-3</v>
      </c>
      <c r="CP33" s="9">
        <f t="shared" si="55"/>
        <v>6378244.911930861</v>
      </c>
      <c r="CQ33" s="9">
        <f t="shared" si="56"/>
        <v>2.0209368702047577E-3</v>
      </c>
      <c r="CR33" s="9">
        <f t="shared" si="57"/>
        <v>3.3467108576934797E-3</v>
      </c>
      <c r="CS33" s="9">
        <f t="shared" ca="1" si="58"/>
        <v>1.3618097007062995E-5</v>
      </c>
      <c r="CT33" s="9">
        <f t="shared" ca="1" si="59"/>
        <v>2.0345549672118207E-3</v>
      </c>
      <c r="CU33" s="46">
        <f t="shared" ca="1" si="6"/>
        <v>1.3618097007062995E-5</v>
      </c>
      <c r="CV33" s="70">
        <f t="shared" ca="1" si="60"/>
        <v>0</v>
      </c>
      <c r="CW33" s="71">
        <f t="shared" ca="1" si="61"/>
        <v>2.0345549672118207E-3</v>
      </c>
      <c r="CX33" s="59">
        <f t="shared" ca="1" si="62"/>
        <v>0</v>
      </c>
      <c r="CY33" s="60">
        <f t="shared" ca="1" si="63"/>
        <v>6</v>
      </c>
      <c r="CZ33" s="61">
        <f t="shared" ca="1" si="64"/>
        <v>59.6571</v>
      </c>
      <c r="DA33" s="6">
        <f t="shared" ca="1" si="65"/>
        <v>0.11657141280861491</v>
      </c>
      <c r="DB33" s="6">
        <f t="shared" si="66"/>
        <v>0.63276604640771628</v>
      </c>
      <c r="DC33" s="6">
        <f t="shared" si="67"/>
        <v>0</v>
      </c>
      <c r="DD33" s="6">
        <f t="shared" si="68"/>
        <v>0.63276604640771628</v>
      </c>
      <c r="DE33" s="60">
        <f t="shared" si="69"/>
        <v>36</v>
      </c>
      <c r="DF33" s="60">
        <f t="shared" si="70"/>
        <v>15</v>
      </c>
      <c r="DG33" s="61">
        <f t="shared" si="71"/>
        <v>17.366</v>
      </c>
      <c r="DH33" s="6">
        <f t="shared" si="72"/>
        <v>36.254823878341327</v>
      </c>
      <c r="DI33" s="66">
        <f t="shared" ca="1" si="73"/>
        <v>-3.001755103468895E-4</v>
      </c>
      <c r="DJ33" s="55">
        <f t="shared" si="74"/>
        <v>39</v>
      </c>
      <c r="DK33" s="6">
        <f t="shared" si="75"/>
        <v>-4.7912361870072265E-2</v>
      </c>
      <c r="DL33" s="6">
        <f t="shared" si="76"/>
        <v>6356863.0187730473</v>
      </c>
      <c r="DM33" s="6">
        <f t="shared" si="77"/>
        <v>6.7385254146834087E-3</v>
      </c>
      <c r="DN33" s="72">
        <f t="shared" ca="1" si="78"/>
        <v>6.7384975211760307E-3</v>
      </c>
      <c r="DO33" s="73">
        <f t="shared" ca="1" si="79"/>
        <v>6378245.0883603953</v>
      </c>
      <c r="DP33" s="6">
        <f t="shared" si="80"/>
        <v>1.0050517725429551</v>
      </c>
      <c r="DQ33" s="6">
        <f t="shared" si="81"/>
        <v>-2.5311877419908228E-3</v>
      </c>
      <c r="DR33" s="6">
        <f t="shared" si="82"/>
        <v>2.6558601241364054E-6</v>
      </c>
      <c r="DS33" s="6">
        <f t="shared" si="83"/>
        <v>-3.4165783147131439E-9</v>
      </c>
      <c r="DT33" s="6">
        <f t="shared" si="93"/>
        <v>7</v>
      </c>
      <c r="DU33" s="6">
        <f t="shared" si="93"/>
        <v>0</v>
      </c>
      <c r="DV33" s="6">
        <f t="shared" si="93"/>
        <v>500000</v>
      </c>
      <c r="DW33" s="6">
        <f t="shared" si="93"/>
        <v>1</v>
      </c>
      <c r="DX33" s="74">
        <f t="shared" ca="1" si="84"/>
        <v>12890.030428976437</v>
      </c>
      <c r="DY33" s="58">
        <f t="shared" ca="1" si="85"/>
        <v>-305713.93034284032</v>
      </c>
      <c r="DZ33" s="64">
        <f t="shared" ca="1" si="86"/>
        <v>12904.939659140397</v>
      </c>
      <c r="EA33" s="66">
        <f t="shared" ca="1" si="87"/>
        <v>7194286.06965716</v>
      </c>
    </row>
    <row r="34" spans="1:13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T34" s="53">
        <v>27</v>
      </c>
      <c r="U34" s="26"/>
      <c r="V34" s="26"/>
      <c r="W34" s="54"/>
      <c r="X34" s="55">
        <f t="shared" si="88"/>
        <v>1</v>
      </c>
      <c r="Y34" s="6">
        <f t="shared" si="88"/>
        <v>-12900</v>
      </c>
      <c r="Z34" s="6">
        <f t="shared" si="88"/>
        <v>250000</v>
      </c>
      <c r="AA34" s="6">
        <f t="shared" si="10"/>
        <v>0</v>
      </c>
      <c r="AB34" s="30">
        <f t="shared" si="8"/>
        <v>12900</v>
      </c>
      <c r="AC34" s="30">
        <f t="shared" si="9"/>
        <v>-250000</v>
      </c>
      <c r="AD34" s="6">
        <f t="shared" si="11"/>
        <v>38.5</v>
      </c>
      <c r="AE34" s="6">
        <f t="shared" si="11"/>
        <v>6378245</v>
      </c>
      <c r="AF34" s="6">
        <f t="shared" si="12"/>
        <v>6356863.0187730473</v>
      </c>
      <c r="AG34" s="6">
        <f t="shared" si="13"/>
        <v>3.352329869259135E-3</v>
      </c>
      <c r="AH34" s="8">
        <f t="shared" si="14"/>
        <v>6.6934216229658618E-3</v>
      </c>
      <c r="AI34" s="56">
        <f t="shared" si="15"/>
        <v>6.7385254146834087E-3</v>
      </c>
      <c r="AJ34" s="57">
        <f t="shared" si="16"/>
        <v>6378245.0883603953</v>
      </c>
      <c r="AK34" s="8">
        <f t="shared" si="17"/>
        <v>2.0361285582720838E-3</v>
      </c>
      <c r="AL34" s="8">
        <f t="shared" si="18"/>
        <v>6367558.4882606138</v>
      </c>
      <c r="AM34" s="8">
        <f t="shared" si="19"/>
        <v>16036.473376007938</v>
      </c>
      <c r="AN34" s="8">
        <f t="shared" si="20"/>
        <v>16.826341825445081</v>
      </c>
      <c r="AO34" s="8">
        <f t="shared" si="21"/>
        <v>2.1689203848674052E-2</v>
      </c>
      <c r="AP34" s="8">
        <f t="shared" si="22"/>
        <v>1.5704606433433228E-7</v>
      </c>
      <c r="AQ34" s="8">
        <f t="shared" si="23"/>
        <v>2.5184636976839014E-3</v>
      </c>
      <c r="AR34" s="8">
        <f t="shared" si="24"/>
        <v>3.70015534400603E-6</v>
      </c>
      <c r="AS34" s="8">
        <f t="shared" si="25"/>
        <v>7.4016654475384287E-9</v>
      </c>
      <c r="AT34" s="8">
        <f t="shared" si="26"/>
        <v>6378245.0884971283</v>
      </c>
      <c r="AU34" s="8">
        <f t="shared" si="27"/>
        <v>8.2088351658514316E-2</v>
      </c>
      <c r="AV34" s="8">
        <f t="shared" si="28"/>
        <v>2.0361313720839145E-3</v>
      </c>
      <c r="AW34" s="8">
        <f t="shared" si="29"/>
        <v>1.0067384974780118</v>
      </c>
      <c r="AX34" s="58">
        <f t="shared" si="30"/>
        <v>2.0345549675285794E-3</v>
      </c>
      <c r="AY34" s="59">
        <f t="shared" si="31"/>
        <v>0</v>
      </c>
      <c r="AZ34" s="60">
        <f t="shared" si="32"/>
        <v>6</v>
      </c>
      <c r="BA34" s="61">
        <f t="shared" si="33"/>
        <v>59.657086176349864</v>
      </c>
      <c r="BB34" s="56">
        <f t="shared" si="34"/>
        <v>0.11657141282676385</v>
      </c>
      <c r="BC34" s="56">
        <f t="shared" si="35"/>
        <v>-3.9185715631620689E-2</v>
      </c>
      <c r="BD34" s="56">
        <f t="shared" si="36"/>
        <v>0.63276604638619627</v>
      </c>
      <c r="BE34" s="56">
        <f t="shared" si="37"/>
        <v>36.254823877108315</v>
      </c>
      <c r="BF34" s="62">
        <f t="shared" si="38"/>
        <v>36</v>
      </c>
      <c r="BG34" s="60">
        <f t="shared" si="39"/>
        <v>15</v>
      </c>
      <c r="BH34" s="63">
        <f t="shared" si="40"/>
        <v>17.365957589933601</v>
      </c>
      <c r="BI34" s="64">
        <f t="shared" si="41"/>
        <v>5143373.1390186641</v>
      </c>
      <c r="BJ34" s="65">
        <f t="shared" si="42"/>
        <v>3771943.1014487948</v>
      </c>
      <c r="BK34" s="66">
        <f t="shared" si="43"/>
        <v>12890.021538123134</v>
      </c>
      <c r="BL34" s="55">
        <f t="shared" si="89"/>
        <v>23.92</v>
      </c>
      <c r="BM34" s="6">
        <f t="shared" si="89"/>
        <v>-141.27000000000001</v>
      </c>
      <c r="BN34" s="6">
        <f t="shared" si="89"/>
        <v>-80.900000000000006</v>
      </c>
      <c r="BO34" s="6">
        <f t="shared" si="89"/>
        <v>0</v>
      </c>
      <c r="BP34" s="6">
        <f t="shared" si="89"/>
        <v>-0.35</v>
      </c>
      <c r="BQ34" s="6">
        <f t="shared" si="89"/>
        <v>-0.82</v>
      </c>
      <c r="BR34" s="6">
        <f t="shared" si="90"/>
        <v>0</v>
      </c>
      <c r="BS34" s="6">
        <f t="shared" si="90"/>
        <v>-1.6968478838833759E-6</v>
      </c>
      <c r="BT34" s="6">
        <f t="shared" si="90"/>
        <v>-3.9754721850981945E-6</v>
      </c>
      <c r="BU34" s="67">
        <f t="shared" si="44"/>
        <v>-0.22</v>
      </c>
      <c r="BV34" s="59">
        <f t="shared" si="45"/>
        <v>5143380.9540973902</v>
      </c>
      <c r="BW34" s="60">
        <f t="shared" si="46"/>
        <v>3771821.4489536658</v>
      </c>
      <c r="BX34" s="68">
        <f t="shared" si="47"/>
        <v>12800.391182411484</v>
      </c>
      <c r="BY34" s="55">
        <f t="shared" si="91"/>
        <v>23.92</v>
      </c>
      <c r="BZ34" s="6">
        <f t="shared" si="91"/>
        <v>-141.27000000000001</v>
      </c>
      <c r="CA34" s="6">
        <f t="shared" si="91"/>
        <v>-80.900000000000006</v>
      </c>
      <c r="CB34" s="6">
        <f t="shared" si="91"/>
        <v>0</v>
      </c>
      <c r="CC34" s="6">
        <f t="shared" si="91"/>
        <v>-0.35</v>
      </c>
      <c r="CD34" s="6">
        <f t="shared" si="91"/>
        <v>-0.82</v>
      </c>
      <c r="CE34" s="6">
        <f t="shared" si="92"/>
        <v>0</v>
      </c>
      <c r="CF34" s="6">
        <f t="shared" si="92"/>
        <v>-1.6968478838833759E-6</v>
      </c>
      <c r="CG34" s="6">
        <f t="shared" si="92"/>
        <v>-3.9754721850981945E-6</v>
      </c>
      <c r="CH34" s="67">
        <f t="shared" si="48"/>
        <v>-0.22</v>
      </c>
      <c r="CI34" s="64">
        <f t="shared" si="49"/>
        <v>5143373.1386954347</v>
      </c>
      <c r="CJ34" s="65">
        <f t="shared" si="50"/>
        <v>3771943.1013819654</v>
      </c>
      <c r="CK34" s="66">
        <f t="shared" si="51"/>
        <v>12890.021535505568</v>
      </c>
      <c r="CL34" s="69">
        <f t="shared" si="52"/>
        <v>6378231.8869665386</v>
      </c>
      <c r="CM34" s="6">
        <f t="shared" si="53"/>
        <v>6378245</v>
      </c>
      <c r="CN34" s="6">
        <f t="shared" si="53"/>
        <v>3.352329869259135E-3</v>
      </c>
      <c r="CO34" s="9">
        <f t="shared" si="54"/>
        <v>6.6934216229659433E-3</v>
      </c>
      <c r="CP34" s="9">
        <f t="shared" si="55"/>
        <v>6378244.911930861</v>
      </c>
      <c r="CQ34" s="9">
        <f t="shared" si="56"/>
        <v>2.0209368702047577E-3</v>
      </c>
      <c r="CR34" s="9">
        <f t="shared" si="57"/>
        <v>3.3467108576934797E-3</v>
      </c>
      <c r="CS34" s="9">
        <f t="shared" ca="1" si="58"/>
        <v>1.3618097007062995E-5</v>
      </c>
      <c r="CT34" s="9">
        <f t="shared" ca="1" si="59"/>
        <v>2.0345549672118207E-3</v>
      </c>
      <c r="CU34" s="46">
        <f t="shared" ca="1" si="6"/>
        <v>1.3618097007062995E-5</v>
      </c>
      <c r="CV34" s="70">
        <f t="shared" ca="1" si="60"/>
        <v>0</v>
      </c>
      <c r="CW34" s="71">
        <f t="shared" ca="1" si="61"/>
        <v>2.0345549672118207E-3</v>
      </c>
      <c r="CX34" s="59">
        <f t="shared" ca="1" si="62"/>
        <v>0</v>
      </c>
      <c r="CY34" s="60">
        <f t="shared" ca="1" si="63"/>
        <v>6</v>
      </c>
      <c r="CZ34" s="61">
        <f t="shared" ca="1" si="64"/>
        <v>59.6571</v>
      </c>
      <c r="DA34" s="6">
        <f t="shared" ca="1" si="65"/>
        <v>0.11657141280861491</v>
      </c>
      <c r="DB34" s="6">
        <f t="shared" si="66"/>
        <v>0.63276604640771628</v>
      </c>
      <c r="DC34" s="6">
        <f t="shared" si="67"/>
        <v>0</v>
      </c>
      <c r="DD34" s="6">
        <f t="shared" si="68"/>
        <v>0.63276604640771628</v>
      </c>
      <c r="DE34" s="60">
        <f t="shared" si="69"/>
        <v>36</v>
      </c>
      <c r="DF34" s="60">
        <f t="shared" si="70"/>
        <v>15</v>
      </c>
      <c r="DG34" s="61">
        <f t="shared" si="71"/>
        <v>17.366</v>
      </c>
      <c r="DH34" s="6">
        <f t="shared" si="72"/>
        <v>36.254823878341327</v>
      </c>
      <c r="DI34" s="66">
        <f t="shared" ca="1" si="73"/>
        <v>-3.001755103468895E-4</v>
      </c>
      <c r="DJ34" s="55">
        <f t="shared" si="74"/>
        <v>39</v>
      </c>
      <c r="DK34" s="6">
        <f t="shared" si="75"/>
        <v>-4.7912361870072265E-2</v>
      </c>
      <c r="DL34" s="6">
        <f t="shared" si="76"/>
        <v>6356863.0187730473</v>
      </c>
      <c r="DM34" s="6">
        <f t="shared" si="77"/>
        <v>6.7385254146834087E-3</v>
      </c>
      <c r="DN34" s="72">
        <f t="shared" ca="1" si="78"/>
        <v>6.7384975211760307E-3</v>
      </c>
      <c r="DO34" s="73">
        <f t="shared" ca="1" si="79"/>
        <v>6378245.0883603953</v>
      </c>
      <c r="DP34" s="6">
        <f t="shared" si="80"/>
        <v>1.0050517725429551</v>
      </c>
      <c r="DQ34" s="6">
        <f t="shared" si="81"/>
        <v>-2.5311877419908228E-3</v>
      </c>
      <c r="DR34" s="6">
        <f t="shared" si="82"/>
        <v>2.6558601241364054E-6</v>
      </c>
      <c r="DS34" s="6">
        <f t="shared" si="83"/>
        <v>-3.4165783147131439E-9</v>
      </c>
      <c r="DT34" s="6">
        <f t="shared" si="93"/>
        <v>7</v>
      </c>
      <c r="DU34" s="6">
        <f t="shared" si="93"/>
        <v>0</v>
      </c>
      <c r="DV34" s="6">
        <f t="shared" si="93"/>
        <v>500000</v>
      </c>
      <c r="DW34" s="6">
        <f t="shared" si="93"/>
        <v>1</v>
      </c>
      <c r="DX34" s="74">
        <f t="shared" ca="1" si="84"/>
        <v>12890.030428976437</v>
      </c>
      <c r="DY34" s="58">
        <f t="shared" ca="1" si="85"/>
        <v>-305713.93034284032</v>
      </c>
      <c r="DZ34" s="64">
        <f t="shared" ca="1" si="86"/>
        <v>12904.939659140397</v>
      </c>
      <c r="EA34" s="66">
        <f t="shared" ca="1" si="87"/>
        <v>7194286.06965716</v>
      </c>
    </row>
    <row r="35" spans="1:1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T35" s="53">
        <v>28</v>
      </c>
      <c r="U35" s="26"/>
      <c r="V35" s="26"/>
      <c r="W35" s="54"/>
      <c r="X35" s="55">
        <f t="shared" si="88"/>
        <v>1</v>
      </c>
      <c r="Y35" s="6">
        <f t="shared" si="88"/>
        <v>-12900</v>
      </c>
      <c r="Z35" s="6">
        <f t="shared" si="88"/>
        <v>250000</v>
      </c>
      <c r="AA35" s="6">
        <f t="shared" si="10"/>
        <v>0</v>
      </c>
      <c r="AB35" s="30">
        <f t="shared" si="8"/>
        <v>12900</v>
      </c>
      <c r="AC35" s="30">
        <f t="shared" si="9"/>
        <v>-250000</v>
      </c>
      <c r="AD35" s="6">
        <f t="shared" si="11"/>
        <v>38.5</v>
      </c>
      <c r="AE35" s="6">
        <f t="shared" si="11"/>
        <v>6378245</v>
      </c>
      <c r="AF35" s="6">
        <f t="shared" si="12"/>
        <v>6356863.0187730473</v>
      </c>
      <c r="AG35" s="6">
        <f t="shared" si="13"/>
        <v>3.352329869259135E-3</v>
      </c>
      <c r="AH35" s="8">
        <f t="shared" si="14"/>
        <v>6.6934216229658618E-3</v>
      </c>
      <c r="AI35" s="56">
        <f t="shared" si="15"/>
        <v>6.7385254146834087E-3</v>
      </c>
      <c r="AJ35" s="57">
        <f t="shared" si="16"/>
        <v>6378245.0883603953</v>
      </c>
      <c r="AK35" s="8">
        <f t="shared" si="17"/>
        <v>2.0361285582720838E-3</v>
      </c>
      <c r="AL35" s="8">
        <f t="shared" si="18"/>
        <v>6367558.4882606138</v>
      </c>
      <c r="AM35" s="8">
        <f t="shared" si="19"/>
        <v>16036.473376007938</v>
      </c>
      <c r="AN35" s="8">
        <f t="shared" si="20"/>
        <v>16.826341825445081</v>
      </c>
      <c r="AO35" s="8">
        <f t="shared" si="21"/>
        <v>2.1689203848674052E-2</v>
      </c>
      <c r="AP35" s="8">
        <f t="shared" si="22"/>
        <v>1.5704606433433228E-7</v>
      </c>
      <c r="AQ35" s="8">
        <f t="shared" si="23"/>
        <v>2.5184636976839014E-3</v>
      </c>
      <c r="AR35" s="8">
        <f t="shared" si="24"/>
        <v>3.70015534400603E-6</v>
      </c>
      <c r="AS35" s="8">
        <f t="shared" si="25"/>
        <v>7.4016654475384287E-9</v>
      </c>
      <c r="AT35" s="8">
        <f t="shared" si="26"/>
        <v>6378245.0884971283</v>
      </c>
      <c r="AU35" s="8">
        <f t="shared" si="27"/>
        <v>8.2088351658514316E-2</v>
      </c>
      <c r="AV35" s="8">
        <f t="shared" si="28"/>
        <v>2.0361313720839145E-3</v>
      </c>
      <c r="AW35" s="8">
        <f t="shared" si="29"/>
        <v>1.0067384974780118</v>
      </c>
      <c r="AX35" s="58">
        <f t="shared" si="30"/>
        <v>2.0345549675285794E-3</v>
      </c>
      <c r="AY35" s="59">
        <f t="shared" si="31"/>
        <v>0</v>
      </c>
      <c r="AZ35" s="60">
        <f t="shared" si="32"/>
        <v>6</v>
      </c>
      <c r="BA35" s="61">
        <f t="shared" si="33"/>
        <v>59.657086176349864</v>
      </c>
      <c r="BB35" s="56">
        <f t="shared" si="34"/>
        <v>0.11657141282676385</v>
      </c>
      <c r="BC35" s="56">
        <f t="shared" si="35"/>
        <v>-3.9185715631620689E-2</v>
      </c>
      <c r="BD35" s="56">
        <f t="shared" si="36"/>
        <v>0.63276604638619627</v>
      </c>
      <c r="BE35" s="56">
        <f t="shared" si="37"/>
        <v>36.254823877108315</v>
      </c>
      <c r="BF35" s="62">
        <f t="shared" si="38"/>
        <v>36</v>
      </c>
      <c r="BG35" s="60">
        <f t="shared" si="39"/>
        <v>15</v>
      </c>
      <c r="BH35" s="63">
        <f t="shared" si="40"/>
        <v>17.365957589933601</v>
      </c>
      <c r="BI35" s="64">
        <f t="shared" si="41"/>
        <v>5143373.1390186641</v>
      </c>
      <c r="BJ35" s="65">
        <f t="shared" si="42"/>
        <v>3771943.1014487948</v>
      </c>
      <c r="BK35" s="66">
        <f t="shared" si="43"/>
        <v>12890.021538123134</v>
      </c>
      <c r="BL35" s="55">
        <f t="shared" si="89"/>
        <v>23.92</v>
      </c>
      <c r="BM35" s="6">
        <f t="shared" si="89"/>
        <v>-141.27000000000001</v>
      </c>
      <c r="BN35" s="6">
        <f t="shared" si="89"/>
        <v>-80.900000000000006</v>
      </c>
      <c r="BO35" s="6">
        <f t="shared" si="89"/>
        <v>0</v>
      </c>
      <c r="BP35" s="6">
        <f t="shared" si="89"/>
        <v>-0.35</v>
      </c>
      <c r="BQ35" s="6">
        <f t="shared" si="89"/>
        <v>-0.82</v>
      </c>
      <c r="BR35" s="6">
        <f t="shared" si="90"/>
        <v>0</v>
      </c>
      <c r="BS35" s="6">
        <f t="shared" si="90"/>
        <v>-1.6968478838833759E-6</v>
      </c>
      <c r="BT35" s="6">
        <f t="shared" si="90"/>
        <v>-3.9754721850981945E-6</v>
      </c>
      <c r="BU35" s="67">
        <f t="shared" si="44"/>
        <v>-0.22</v>
      </c>
      <c r="BV35" s="59">
        <f t="shared" si="45"/>
        <v>5143380.9540973902</v>
      </c>
      <c r="BW35" s="60">
        <f t="shared" si="46"/>
        <v>3771821.4489536658</v>
      </c>
      <c r="BX35" s="68">
        <f t="shared" si="47"/>
        <v>12800.391182411484</v>
      </c>
      <c r="BY35" s="55">
        <f t="shared" si="91"/>
        <v>23.92</v>
      </c>
      <c r="BZ35" s="6">
        <f t="shared" si="91"/>
        <v>-141.27000000000001</v>
      </c>
      <c r="CA35" s="6">
        <f t="shared" si="91"/>
        <v>-80.900000000000006</v>
      </c>
      <c r="CB35" s="6">
        <f t="shared" si="91"/>
        <v>0</v>
      </c>
      <c r="CC35" s="6">
        <f t="shared" si="91"/>
        <v>-0.35</v>
      </c>
      <c r="CD35" s="6">
        <f t="shared" si="91"/>
        <v>-0.82</v>
      </c>
      <c r="CE35" s="6">
        <f t="shared" si="92"/>
        <v>0</v>
      </c>
      <c r="CF35" s="6">
        <f t="shared" si="92"/>
        <v>-1.6968478838833759E-6</v>
      </c>
      <c r="CG35" s="6">
        <f t="shared" si="92"/>
        <v>-3.9754721850981945E-6</v>
      </c>
      <c r="CH35" s="67">
        <f t="shared" si="48"/>
        <v>-0.22</v>
      </c>
      <c r="CI35" s="64">
        <f t="shared" si="49"/>
        <v>5143373.1386954347</v>
      </c>
      <c r="CJ35" s="65">
        <f t="shared" si="50"/>
        <v>3771943.1013819654</v>
      </c>
      <c r="CK35" s="66">
        <f t="shared" si="51"/>
        <v>12890.021535505568</v>
      </c>
      <c r="CL35" s="69">
        <f t="shared" si="52"/>
        <v>6378231.8869665386</v>
      </c>
      <c r="CM35" s="6">
        <f t="shared" si="53"/>
        <v>6378245</v>
      </c>
      <c r="CN35" s="6">
        <f t="shared" si="53"/>
        <v>3.352329869259135E-3</v>
      </c>
      <c r="CO35" s="9">
        <f t="shared" si="54"/>
        <v>6.6934216229659433E-3</v>
      </c>
      <c r="CP35" s="9">
        <f t="shared" si="55"/>
        <v>6378244.911930861</v>
      </c>
      <c r="CQ35" s="9">
        <f t="shared" si="56"/>
        <v>2.0209368702047577E-3</v>
      </c>
      <c r="CR35" s="9">
        <f t="shared" si="57"/>
        <v>3.3467108576934797E-3</v>
      </c>
      <c r="CS35" s="9">
        <f t="shared" ca="1" si="58"/>
        <v>1.3618097007062995E-5</v>
      </c>
      <c r="CT35" s="9">
        <f t="shared" ca="1" si="59"/>
        <v>2.0345549672118207E-3</v>
      </c>
      <c r="CU35" s="46">
        <f t="shared" ca="1" si="6"/>
        <v>1.3618097007062995E-5</v>
      </c>
      <c r="CV35" s="70">
        <f t="shared" ca="1" si="60"/>
        <v>0</v>
      </c>
      <c r="CW35" s="71">
        <f t="shared" ca="1" si="61"/>
        <v>2.0345549672118207E-3</v>
      </c>
      <c r="CX35" s="59">
        <f t="shared" ca="1" si="62"/>
        <v>0</v>
      </c>
      <c r="CY35" s="60">
        <f t="shared" ca="1" si="63"/>
        <v>6</v>
      </c>
      <c r="CZ35" s="61">
        <f t="shared" ca="1" si="64"/>
        <v>59.6571</v>
      </c>
      <c r="DA35" s="6">
        <f t="shared" ca="1" si="65"/>
        <v>0.11657141280861491</v>
      </c>
      <c r="DB35" s="6">
        <f t="shared" si="66"/>
        <v>0.63276604640771628</v>
      </c>
      <c r="DC35" s="6">
        <f t="shared" si="67"/>
        <v>0</v>
      </c>
      <c r="DD35" s="6">
        <f t="shared" si="68"/>
        <v>0.63276604640771628</v>
      </c>
      <c r="DE35" s="60">
        <f t="shared" si="69"/>
        <v>36</v>
      </c>
      <c r="DF35" s="60">
        <f t="shared" si="70"/>
        <v>15</v>
      </c>
      <c r="DG35" s="61">
        <f t="shared" si="71"/>
        <v>17.366</v>
      </c>
      <c r="DH35" s="6">
        <f t="shared" si="72"/>
        <v>36.254823878341327</v>
      </c>
      <c r="DI35" s="66">
        <f t="shared" ca="1" si="73"/>
        <v>-3.001755103468895E-4</v>
      </c>
      <c r="DJ35" s="55">
        <f t="shared" si="74"/>
        <v>39</v>
      </c>
      <c r="DK35" s="6">
        <f t="shared" si="75"/>
        <v>-4.7912361870072265E-2</v>
      </c>
      <c r="DL35" s="6">
        <f t="shared" si="76"/>
        <v>6356863.0187730473</v>
      </c>
      <c r="DM35" s="6">
        <f t="shared" si="77"/>
        <v>6.7385254146834087E-3</v>
      </c>
      <c r="DN35" s="72">
        <f t="shared" ca="1" si="78"/>
        <v>6.7384975211760307E-3</v>
      </c>
      <c r="DO35" s="73">
        <f t="shared" ca="1" si="79"/>
        <v>6378245.0883603953</v>
      </c>
      <c r="DP35" s="6">
        <f t="shared" si="80"/>
        <v>1.0050517725429551</v>
      </c>
      <c r="DQ35" s="6">
        <f t="shared" si="81"/>
        <v>-2.5311877419908228E-3</v>
      </c>
      <c r="DR35" s="6">
        <f t="shared" si="82"/>
        <v>2.6558601241364054E-6</v>
      </c>
      <c r="DS35" s="6">
        <f t="shared" si="83"/>
        <v>-3.4165783147131439E-9</v>
      </c>
      <c r="DT35" s="6">
        <f t="shared" si="93"/>
        <v>7</v>
      </c>
      <c r="DU35" s="6">
        <f t="shared" si="93"/>
        <v>0</v>
      </c>
      <c r="DV35" s="6">
        <f t="shared" si="93"/>
        <v>500000</v>
      </c>
      <c r="DW35" s="6">
        <f t="shared" si="93"/>
        <v>1</v>
      </c>
      <c r="DX35" s="74">
        <f t="shared" ca="1" si="84"/>
        <v>12890.030428976437</v>
      </c>
      <c r="DY35" s="58">
        <f t="shared" ca="1" si="85"/>
        <v>-305713.93034284032</v>
      </c>
      <c r="DZ35" s="64">
        <f t="shared" ca="1" si="86"/>
        <v>12904.939659140397</v>
      </c>
      <c r="EA35" s="66">
        <f t="shared" ca="1" si="87"/>
        <v>7194286.06965716</v>
      </c>
    </row>
    <row r="36" spans="1:131" x14ac:dyDescent="0.25">
      <c r="T36" s="53">
        <v>29</v>
      </c>
      <c r="U36" s="26"/>
      <c r="V36" s="26"/>
      <c r="W36" s="54"/>
      <c r="X36" s="55">
        <f t="shared" si="88"/>
        <v>1</v>
      </c>
      <c r="Y36" s="6">
        <f t="shared" si="88"/>
        <v>-12900</v>
      </c>
      <c r="Z36" s="6">
        <f t="shared" si="88"/>
        <v>250000</v>
      </c>
      <c r="AA36" s="6">
        <f t="shared" si="10"/>
        <v>0</v>
      </c>
      <c r="AB36" s="30">
        <f t="shared" si="8"/>
        <v>12900</v>
      </c>
      <c r="AC36" s="30">
        <f t="shared" si="9"/>
        <v>-250000</v>
      </c>
      <c r="AD36" s="6">
        <f t="shared" si="11"/>
        <v>38.5</v>
      </c>
      <c r="AE36" s="6">
        <f t="shared" si="11"/>
        <v>6378245</v>
      </c>
      <c r="AF36" s="6">
        <f t="shared" si="12"/>
        <v>6356863.0187730473</v>
      </c>
      <c r="AG36" s="6">
        <f t="shared" si="13"/>
        <v>3.352329869259135E-3</v>
      </c>
      <c r="AH36" s="8">
        <f t="shared" si="14"/>
        <v>6.6934216229658618E-3</v>
      </c>
      <c r="AI36" s="56">
        <f t="shared" si="15"/>
        <v>6.7385254146834087E-3</v>
      </c>
      <c r="AJ36" s="57">
        <f t="shared" si="16"/>
        <v>6378245.0883603953</v>
      </c>
      <c r="AK36" s="8">
        <f t="shared" si="17"/>
        <v>2.0361285582720838E-3</v>
      </c>
      <c r="AL36" s="8">
        <f t="shared" si="18"/>
        <v>6367558.4882606138</v>
      </c>
      <c r="AM36" s="8">
        <f t="shared" si="19"/>
        <v>16036.473376007938</v>
      </c>
      <c r="AN36" s="8">
        <f t="shared" si="20"/>
        <v>16.826341825445081</v>
      </c>
      <c r="AO36" s="8">
        <f t="shared" si="21"/>
        <v>2.1689203848674052E-2</v>
      </c>
      <c r="AP36" s="8">
        <f t="shared" si="22"/>
        <v>1.5704606433433228E-7</v>
      </c>
      <c r="AQ36" s="8">
        <f t="shared" si="23"/>
        <v>2.5184636976839014E-3</v>
      </c>
      <c r="AR36" s="8">
        <f t="shared" si="24"/>
        <v>3.70015534400603E-6</v>
      </c>
      <c r="AS36" s="8">
        <f t="shared" si="25"/>
        <v>7.4016654475384287E-9</v>
      </c>
      <c r="AT36" s="8">
        <f t="shared" si="26"/>
        <v>6378245.0884971283</v>
      </c>
      <c r="AU36" s="8">
        <f t="shared" si="27"/>
        <v>8.2088351658514316E-2</v>
      </c>
      <c r="AV36" s="8">
        <f t="shared" si="28"/>
        <v>2.0361313720839145E-3</v>
      </c>
      <c r="AW36" s="8">
        <f t="shared" si="29"/>
        <v>1.0067384974780118</v>
      </c>
      <c r="AX36" s="58">
        <f t="shared" si="30"/>
        <v>2.0345549675285794E-3</v>
      </c>
      <c r="AY36" s="59">
        <f t="shared" si="31"/>
        <v>0</v>
      </c>
      <c r="AZ36" s="60">
        <f t="shared" si="32"/>
        <v>6</v>
      </c>
      <c r="BA36" s="61">
        <f t="shared" si="33"/>
        <v>59.657086176349864</v>
      </c>
      <c r="BB36" s="56">
        <f t="shared" si="34"/>
        <v>0.11657141282676385</v>
      </c>
      <c r="BC36" s="56">
        <f t="shared" si="35"/>
        <v>-3.9185715631620689E-2</v>
      </c>
      <c r="BD36" s="56">
        <f t="shared" si="36"/>
        <v>0.63276604638619627</v>
      </c>
      <c r="BE36" s="56">
        <f t="shared" si="37"/>
        <v>36.254823877108315</v>
      </c>
      <c r="BF36" s="62">
        <f t="shared" si="38"/>
        <v>36</v>
      </c>
      <c r="BG36" s="60">
        <f t="shared" si="39"/>
        <v>15</v>
      </c>
      <c r="BH36" s="63">
        <f t="shared" si="40"/>
        <v>17.365957589933601</v>
      </c>
      <c r="BI36" s="64">
        <f t="shared" si="41"/>
        <v>5143373.1390186641</v>
      </c>
      <c r="BJ36" s="65">
        <f t="shared" si="42"/>
        <v>3771943.1014487948</v>
      </c>
      <c r="BK36" s="66">
        <f t="shared" si="43"/>
        <v>12890.021538123134</v>
      </c>
      <c r="BL36" s="55">
        <f t="shared" si="89"/>
        <v>23.92</v>
      </c>
      <c r="BM36" s="6">
        <f t="shared" si="89"/>
        <v>-141.27000000000001</v>
      </c>
      <c r="BN36" s="6">
        <f t="shared" si="89"/>
        <v>-80.900000000000006</v>
      </c>
      <c r="BO36" s="6">
        <f t="shared" si="89"/>
        <v>0</v>
      </c>
      <c r="BP36" s="6">
        <f t="shared" si="89"/>
        <v>-0.35</v>
      </c>
      <c r="BQ36" s="6">
        <f t="shared" si="89"/>
        <v>-0.82</v>
      </c>
      <c r="BR36" s="6">
        <f t="shared" si="90"/>
        <v>0</v>
      </c>
      <c r="BS36" s="6">
        <f t="shared" si="90"/>
        <v>-1.6968478838833759E-6</v>
      </c>
      <c r="BT36" s="6">
        <f t="shared" si="90"/>
        <v>-3.9754721850981945E-6</v>
      </c>
      <c r="BU36" s="67">
        <f t="shared" si="44"/>
        <v>-0.22</v>
      </c>
      <c r="BV36" s="59">
        <f t="shared" si="45"/>
        <v>5143380.9540973902</v>
      </c>
      <c r="BW36" s="60">
        <f t="shared" si="46"/>
        <v>3771821.4489536658</v>
      </c>
      <c r="BX36" s="68">
        <f t="shared" si="47"/>
        <v>12800.391182411484</v>
      </c>
      <c r="BY36" s="55">
        <f t="shared" si="91"/>
        <v>23.92</v>
      </c>
      <c r="BZ36" s="6">
        <f t="shared" si="91"/>
        <v>-141.27000000000001</v>
      </c>
      <c r="CA36" s="6">
        <f t="shared" si="91"/>
        <v>-80.900000000000006</v>
      </c>
      <c r="CB36" s="6">
        <f t="shared" si="91"/>
        <v>0</v>
      </c>
      <c r="CC36" s="6">
        <f t="shared" si="91"/>
        <v>-0.35</v>
      </c>
      <c r="CD36" s="6">
        <f t="shared" si="91"/>
        <v>-0.82</v>
      </c>
      <c r="CE36" s="6">
        <f t="shared" si="92"/>
        <v>0</v>
      </c>
      <c r="CF36" s="6">
        <f t="shared" si="92"/>
        <v>-1.6968478838833759E-6</v>
      </c>
      <c r="CG36" s="6">
        <f t="shared" si="92"/>
        <v>-3.9754721850981945E-6</v>
      </c>
      <c r="CH36" s="67">
        <f t="shared" si="48"/>
        <v>-0.22</v>
      </c>
      <c r="CI36" s="64">
        <f t="shared" si="49"/>
        <v>5143373.1386954347</v>
      </c>
      <c r="CJ36" s="65">
        <f t="shared" si="50"/>
        <v>3771943.1013819654</v>
      </c>
      <c r="CK36" s="66">
        <f t="shared" si="51"/>
        <v>12890.021535505568</v>
      </c>
      <c r="CL36" s="69">
        <f t="shared" si="52"/>
        <v>6378231.8869665386</v>
      </c>
      <c r="CM36" s="6">
        <f t="shared" si="53"/>
        <v>6378245</v>
      </c>
      <c r="CN36" s="6">
        <f t="shared" si="53"/>
        <v>3.352329869259135E-3</v>
      </c>
      <c r="CO36" s="9">
        <f t="shared" si="54"/>
        <v>6.6934216229659433E-3</v>
      </c>
      <c r="CP36" s="9">
        <f t="shared" si="55"/>
        <v>6378244.911930861</v>
      </c>
      <c r="CQ36" s="9">
        <f t="shared" si="56"/>
        <v>2.0209368702047577E-3</v>
      </c>
      <c r="CR36" s="9">
        <f t="shared" si="57"/>
        <v>3.3467108576934797E-3</v>
      </c>
      <c r="CS36" s="9">
        <f t="shared" ca="1" si="58"/>
        <v>1.3618097007062995E-5</v>
      </c>
      <c r="CT36" s="9">
        <f t="shared" ca="1" si="59"/>
        <v>2.0345549672118207E-3</v>
      </c>
      <c r="CU36" s="46">
        <f t="shared" ca="1" si="6"/>
        <v>1.3618097007062995E-5</v>
      </c>
      <c r="CV36" s="70">
        <f t="shared" ca="1" si="60"/>
        <v>0</v>
      </c>
      <c r="CW36" s="71">
        <f t="shared" ca="1" si="61"/>
        <v>2.0345549672118207E-3</v>
      </c>
      <c r="CX36" s="59">
        <f t="shared" ca="1" si="62"/>
        <v>0</v>
      </c>
      <c r="CY36" s="60">
        <f t="shared" ca="1" si="63"/>
        <v>6</v>
      </c>
      <c r="CZ36" s="61">
        <f t="shared" ca="1" si="64"/>
        <v>59.6571</v>
      </c>
      <c r="DA36" s="6">
        <f t="shared" ca="1" si="65"/>
        <v>0.11657141280861491</v>
      </c>
      <c r="DB36" s="6">
        <f t="shared" si="66"/>
        <v>0.63276604640771628</v>
      </c>
      <c r="DC36" s="6">
        <f t="shared" si="67"/>
        <v>0</v>
      </c>
      <c r="DD36" s="6">
        <f t="shared" si="68"/>
        <v>0.63276604640771628</v>
      </c>
      <c r="DE36" s="60">
        <f t="shared" si="69"/>
        <v>36</v>
      </c>
      <c r="DF36" s="60">
        <f t="shared" si="70"/>
        <v>15</v>
      </c>
      <c r="DG36" s="61">
        <f t="shared" si="71"/>
        <v>17.366</v>
      </c>
      <c r="DH36" s="6">
        <f t="shared" si="72"/>
        <v>36.254823878341327</v>
      </c>
      <c r="DI36" s="66">
        <f t="shared" ca="1" si="73"/>
        <v>-3.001755103468895E-4</v>
      </c>
      <c r="DJ36" s="55">
        <f t="shared" si="74"/>
        <v>39</v>
      </c>
      <c r="DK36" s="6">
        <f t="shared" si="75"/>
        <v>-4.7912361870072265E-2</v>
      </c>
      <c r="DL36" s="6">
        <f t="shared" si="76"/>
        <v>6356863.0187730473</v>
      </c>
      <c r="DM36" s="6">
        <f t="shared" si="77"/>
        <v>6.7385254146834087E-3</v>
      </c>
      <c r="DN36" s="72">
        <f t="shared" ca="1" si="78"/>
        <v>6.7384975211760307E-3</v>
      </c>
      <c r="DO36" s="73">
        <f t="shared" ca="1" si="79"/>
        <v>6378245.0883603953</v>
      </c>
      <c r="DP36" s="6">
        <f t="shared" si="80"/>
        <v>1.0050517725429551</v>
      </c>
      <c r="DQ36" s="6">
        <f t="shared" si="81"/>
        <v>-2.5311877419908228E-3</v>
      </c>
      <c r="DR36" s="6">
        <f t="shared" si="82"/>
        <v>2.6558601241364054E-6</v>
      </c>
      <c r="DS36" s="6">
        <f t="shared" si="83"/>
        <v>-3.4165783147131439E-9</v>
      </c>
      <c r="DT36" s="6">
        <f t="shared" si="93"/>
        <v>7</v>
      </c>
      <c r="DU36" s="6">
        <f t="shared" si="93"/>
        <v>0</v>
      </c>
      <c r="DV36" s="6">
        <f t="shared" si="93"/>
        <v>500000</v>
      </c>
      <c r="DW36" s="6">
        <f t="shared" si="93"/>
        <v>1</v>
      </c>
      <c r="DX36" s="74">
        <f t="shared" ca="1" si="84"/>
        <v>12890.030428976437</v>
      </c>
      <c r="DY36" s="58">
        <f t="shared" ca="1" si="85"/>
        <v>-305713.93034284032</v>
      </c>
      <c r="DZ36" s="64">
        <f t="shared" ca="1" si="86"/>
        <v>12904.939659140397</v>
      </c>
      <c r="EA36" s="66">
        <f t="shared" ca="1" si="87"/>
        <v>7194286.06965716</v>
      </c>
    </row>
    <row r="37" spans="1:131" ht="16.5" x14ac:dyDescent="0.3">
      <c r="D37" s="78"/>
      <c r="J37" s="79"/>
      <c r="T37" s="53">
        <v>30</v>
      </c>
      <c r="U37" s="26"/>
      <c r="V37" s="26"/>
      <c r="W37" s="54"/>
      <c r="X37" s="55">
        <f t="shared" si="88"/>
        <v>1</v>
      </c>
      <c r="Y37" s="6">
        <f t="shared" si="88"/>
        <v>-12900</v>
      </c>
      <c r="Z37" s="6">
        <f t="shared" si="88"/>
        <v>250000</v>
      </c>
      <c r="AA37" s="6">
        <f t="shared" si="10"/>
        <v>0</v>
      </c>
      <c r="AB37" s="30">
        <f t="shared" si="8"/>
        <v>12900</v>
      </c>
      <c r="AC37" s="30">
        <f t="shared" si="9"/>
        <v>-250000</v>
      </c>
      <c r="AD37" s="6">
        <f t="shared" si="11"/>
        <v>38.5</v>
      </c>
      <c r="AE37" s="6">
        <f t="shared" si="11"/>
        <v>6378245</v>
      </c>
      <c r="AF37" s="6">
        <f t="shared" si="12"/>
        <v>6356863.0187730473</v>
      </c>
      <c r="AG37" s="6">
        <f t="shared" si="13"/>
        <v>3.352329869259135E-3</v>
      </c>
      <c r="AH37" s="8">
        <f t="shared" si="14"/>
        <v>6.6934216229658618E-3</v>
      </c>
      <c r="AI37" s="56">
        <f t="shared" si="15"/>
        <v>6.7385254146834087E-3</v>
      </c>
      <c r="AJ37" s="57">
        <f t="shared" si="16"/>
        <v>6378245.0883603953</v>
      </c>
      <c r="AK37" s="8">
        <f t="shared" si="17"/>
        <v>2.0361285582720838E-3</v>
      </c>
      <c r="AL37" s="8">
        <f t="shared" si="18"/>
        <v>6367558.4882606138</v>
      </c>
      <c r="AM37" s="8">
        <f t="shared" si="19"/>
        <v>16036.473376007938</v>
      </c>
      <c r="AN37" s="8">
        <f t="shared" si="20"/>
        <v>16.826341825445081</v>
      </c>
      <c r="AO37" s="8">
        <f t="shared" si="21"/>
        <v>2.1689203848674052E-2</v>
      </c>
      <c r="AP37" s="8">
        <f t="shared" si="22"/>
        <v>1.5704606433433228E-7</v>
      </c>
      <c r="AQ37" s="8">
        <f t="shared" si="23"/>
        <v>2.5184636976839014E-3</v>
      </c>
      <c r="AR37" s="8">
        <f t="shared" si="24"/>
        <v>3.70015534400603E-6</v>
      </c>
      <c r="AS37" s="8">
        <f t="shared" si="25"/>
        <v>7.4016654475384287E-9</v>
      </c>
      <c r="AT37" s="8">
        <f t="shared" si="26"/>
        <v>6378245.0884971283</v>
      </c>
      <c r="AU37" s="8">
        <f t="shared" si="27"/>
        <v>8.2088351658514316E-2</v>
      </c>
      <c r="AV37" s="8">
        <f t="shared" si="28"/>
        <v>2.0361313720839145E-3</v>
      </c>
      <c r="AW37" s="8">
        <f t="shared" si="29"/>
        <v>1.0067384974780118</v>
      </c>
      <c r="AX37" s="58">
        <f t="shared" si="30"/>
        <v>2.0345549675285794E-3</v>
      </c>
      <c r="AY37" s="59">
        <f t="shared" si="31"/>
        <v>0</v>
      </c>
      <c r="AZ37" s="60">
        <f t="shared" si="32"/>
        <v>6</v>
      </c>
      <c r="BA37" s="61">
        <f t="shared" si="33"/>
        <v>59.657086176349864</v>
      </c>
      <c r="BB37" s="56">
        <f t="shared" si="34"/>
        <v>0.11657141282676385</v>
      </c>
      <c r="BC37" s="56">
        <f t="shared" si="35"/>
        <v>-3.9185715631620689E-2</v>
      </c>
      <c r="BD37" s="56">
        <f t="shared" si="36"/>
        <v>0.63276604638619627</v>
      </c>
      <c r="BE37" s="56">
        <f t="shared" si="37"/>
        <v>36.254823877108315</v>
      </c>
      <c r="BF37" s="62">
        <f t="shared" si="38"/>
        <v>36</v>
      </c>
      <c r="BG37" s="60">
        <f t="shared" si="39"/>
        <v>15</v>
      </c>
      <c r="BH37" s="63">
        <f t="shared" si="40"/>
        <v>17.365957589933601</v>
      </c>
      <c r="BI37" s="64">
        <f t="shared" si="41"/>
        <v>5143373.1390186641</v>
      </c>
      <c r="BJ37" s="65">
        <f t="shared" si="42"/>
        <v>3771943.1014487948</v>
      </c>
      <c r="BK37" s="66">
        <f t="shared" si="43"/>
        <v>12890.021538123134</v>
      </c>
      <c r="BL37" s="55">
        <f t="shared" si="89"/>
        <v>23.92</v>
      </c>
      <c r="BM37" s="6">
        <f t="shared" si="89"/>
        <v>-141.27000000000001</v>
      </c>
      <c r="BN37" s="6">
        <f t="shared" si="89"/>
        <v>-80.900000000000006</v>
      </c>
      <c r="BO37" s="6">
        <f t="shared" si="89"/>
        <v>0</v>
      </c>
      <c r="BP37" s="6">
        <f t="shared" si="89"/>
        <v>-0.35</v>
      </c>
      <c r="BQ37" s="6">
        <f t="shared" si="89"/>
        <v>-0.82</v>
      </c>
      <c r="BR37" s="6">
        <f t="shared" si="90"/>
        <v>0</v>
      </c>
      <c r="BS37" s="6">
        <f t="shared" si="90"/>
        <v>-1.6968478838833759E-6</v>
      </c>
      <c r="BT37" s="6">
        <f t="shared" si="90"/>
        <v>-3.9754721850981945E-6</v>
      </c>
      <c r="BU37" s="67">
        <f t="shared" si="44"/>
        <v>-0.22</v>
      </c>
      <c r="BV37" s="59">
        <f t="shared" si="45"/>
        <v>5143380.9540973902</v>
      </c>
      <c r="BW37" s="60">
        <f t="shared" si="46"/>
        <v>3771821.4489536658</v>
      </c>
      <c r="BX37" s="68">
        <f t="shared" si="47"/>
        <v>12800.391182411484</v>
      </c>
      <c r="BY37" s="55">
        <f t="shared" si="91"/>
        <v>23.92</v>
      </c>
      <c r="BZ37" s="6">
        <f t="shared" si="91"/>
        <v>-141.27000000000001</v>
      </c>
      <c r="CA37" s="6">
        <f t="shared" si="91"/>
        <v>-80.900000000000006</v>
      </c>
      <c r="CB37" s="6">
        <f t="shared" si="91"/>
        <v>0</v>
      </c>
      <c r="CC37" s="6">
        <f t="shared" si="91"/>
        <v>-0.35</v>
      </c>
      <c r="CD37" s="6">
        <f t="shared" si="91"/>
        <v>-0.82</v>
      </c>
      <c r="CE37" s="6">
        <f t="shared" si="92"/>
        <v>0</v>
      </c>
      <c r="CF37" s="6">
        <f t="shared" si="92"/>
        <v>-1.6968478838833759E-6</v>
      </c>
      <c r="CG37" s="6">
        <f t="shared" si="92"/>
        <v>-3.9754721850981945E-6</v>
      </c>
      <c r="CH37" s="67">
        <f t="shared" si="48"/>
        <v>-0.22</v>
      </c>
      <c r="CI37" s="64">
        <f t="shared" si="49"/>
        <v>5143373.1386954347</v>
      </c>
      <c r="CJ37" s="65">
        <f t="shared" si="50"/>
        <v>3771943.1013819654</v>
      </c>
      <c r="CK37" s="66">
        <f t="shared" si="51"/>
        <v>12890.021535505568</v>
      </c>
      <c r="CL37" s="69">
        <f t="shared" si="52"/>
        <v>6378231.8869665386</v>
      </c>
      <c r="CM37" s="6">
        <f t="shared" si="53"/>
        <v>6378245</v>
      </c>
      <c r="CN37" s="6">
        <f t="shared" si="53"/>
        <v>3.352329869259135E-3</v>
      </c>
      <c r="CO37" s="9">
        <f t="shared" si="54"/>
        <v>6.6934216229659433E-3</v>
      </c>
      <c r="CP37" s="9">
        <f t="shared" si="55"/>
        <v>6378244.911930861</v>
      </c>
      <c r="CQ37" s="9">
        <f t="shared" si="56"/>
        <v>2.0209368702047577E-3</v>
      </c>
      <c r="CR37" s="9">
        <f t="shared" si="57"/>
        <v>3.3467108576934797E-3</v>
      </c>
      <c r="CS37" s="9">
        <f t="shared" ca="1" si="58"/>
        <v>1.3618097007062995E-5</v>
      </c>
      <c r="CT37" s="9">
        <f t="shared" ca="1" si="59"/>
        <v>2.0345549672118207E-3</v>
      </c>
      <c r="CU37" s="46">
        <f t="shared" ca="1" si="6"/>
        <v>1.3618097007062995E-5</v>
      </c>
      <c r="CV37" s="70">
        <f t="shared" ca="1" si="60"/>
        <v>0</v>
      </c>
      <c r="CW37" s="71">
        <f t="shared" ca="1" si="61"/>
        <v>2.0345549672118207E-3</v>
      </c>
      <c r="CX37" s="59">
        <f t="shared" ca="1" si="62"/>
        <v>0</v>
      </c>
      <c r="CY37" s="60">
        <f t="shared" ca="1" si="63"/>
        <v>6</v>
      </c>
      <c r="CZ37" s="61">
        <f t="shared" ca="1" si="64"/>
        <v>59.6571</v>
      </c>
      <c r="DA37" s="6">
        <f t="shared" ca="1" si="65"/>
        <v>0.11657141280861491</v>
      </c>
      <c r="DB37" s="6">
        <f t="shared" si="66"/>
        <v>0.63276604640771628</v>
      </c>
      <c r="DC37" s="6">
        <f t="shared" si="67"/>
        <v>0</v>
      </c>
      <c r="DD37" s="6">
        <f t="shared" si="68"/>
        <v>0.63276604640771628</v>
      </c>
      <c r="DE37" s="60">
        <f t="shared" si="69"/>
        <v>36</v>
      </c>
      <c r="DF37" s="60">
        <f t="shared" si="70"/>
        <v>15</v>
      </c>
      <c r="DG37" s="61">
        <f t="shared" si="71"/>
        <v>17.366</v>
      </c>
      <c r="DH37" s="6">
        <f t="shared" si="72"/>
        <v>36.254823878341327</v>
      </c>
      <c r="DI37" s="66">
        <f t="shared" ca="1" si="73"/>
        <v>-3.001755103468895E-4</v>
      </c>
      <c r="DJ37" s="55">
        <f t="shared" si="74"/>
        <v>39</v>
      </c>
      <c r="DK37" s="6">
        <f t="shared" si="75"/>
        <v>-4.7912361870072265E-2</v>
      </c>
      <c r="DL37" s="6">
        <f t="shared" si="76"/>
        <v>6356863.0187730473</v>
      </c>
      <c r="DM37" s="6">
        <f t="shared" si="77"/>
        <v>6.7385254146834087E-3</v>
      </c>
      <c r="DN37" s="72">
        <f t="shared" ca="1" si="78"/>
        <v>6.7384975211760307E-3</v>
      </c>
      <c r="DO37" s="73">
        <f t="shared" ca="1" si="79"/>
        <v>6378245.0883603953</v>
      </c>
      <c r="DP37" s="6">
        <f t="shared" si="80"/>
        <v>1.0050517725429551</v>
      </c>
      <c r="DQ37" s="6">
        <f t="shared" si="81"/>
        <v>-2.5311877419908228E-3</v>
      </c>
      <c r="DR37" s="6">
        <f t="shared" si="82"/>
        <v>2.6558601241364054E-6</v>
      </c>
      <c r="DS37" s="6">
        <f t="shared" si="83"/>
        <v>-3.4165783147131439E-9</v>
      </c>
      <c r="DT37" s="6">
        <f t="shared" si="93"/>
        <v>7</v>
      </c>
      <c r="DU37" s="6">
        <f t="shared" si="93"/>
        <v>0</v>
      </c>
      <c r="DV37" s="6">
        <f t="shared" si="93"/>
        <v>500000</v>
      </c>
      <c r="DW37" s="6">
        <f t="shared" si="93"/>
        <v>1</v>
      </c>
      <c r="DX37" s="74">
        <f t="shared" ca="1" si="84"/>
        <v>12890.030428976437</v>
      </c>
      <c r="DY37" s="58">
        <f t="shared" ca="1" si="85"/>
        <v>-305713.93034284032</v>
      </c>
      <c r="DZ37" s="64">
        <f t="shared" ca="1" si="86"/>
        <v>12904.939659140397</v>
      </c>
      <c r="EA37" s="66">
        <f t="shared" ca="1" si="87"/>
        <v>7194286.06965716</v>
      </c>
    </row>
    <row r="38" spans="1:131" ht="16.5" x14ac:dyDescent="0.3">
      <c r="D38" s="78"/>
      <c r="J38" s="79"/>
      <c r="T38" s="53">
        <v>31</v>
      </c>
      <c r="U38" s="26"/>
      <c r="V38" s="26"/>
      <c r="W38" s="54"/>
      <c r="X38" s="55">
        <f t="shared" si="88"/>
        <v>1</v>
      </c>
      <c r="Y38" s="6">
        <f t="shared" si="88"/>
        <v>-12900</v>
      </c>
      <c r="Z38" s="6">
        <f t="shared" si="88"/>
        <v>250000</v>
      </c>
      <c r="AA38" s="6">
        <f t="shared" si="10"/>
        <v>0</v>
      </c>
      <c r="AB38" s="30">
        <f t="shared" si="8"/>
        <v>12900</v>
      </c>
      <c r="AC38" s="30">
        <f t="shared" si="9"/>
        <v>-250000</v>
      </c>
      <c r="AD38" s="6">
        <f t="shared" si="11"/>
        <v>38.5</v>
      </c>
      <c r="AE38" s="6">
        <f t="shared" si="11"/>
        <v>6378245</v>
      </c>
      <c r="AF38" s="6">
        <f t="shared" si="12"/>
        <v>6356863.0187730473</v>
      </c>
      <c r="AG38" s="6">
        <f t="shared" si="13"/>
        <v>3.352329869259135E-3</v>
      </c>
      <c r="AH38" s="8">
        <f t="shared" si="14"/>
        <v>6.6934216229658618E-3</v>
      </c>
      <c r="AI38" s="56">
        <f t="shared" si="15"/>
        <v>6.7385254146834087E-3</v>
      </c>
      <c r="AJ38" s="57">
        <f t="shared" si="16"/>
        <v>6378245.0883603953</v>
      </c>
      <c r="AK38" s="8">
        <f t="shared" si="17"/>
        <v>2.0361285582720838E-3</v>
      </c>
      <c r="AL38" s="8">
        <f t="shared" si="18"/>
        <v>6367558.4882606138</v>
      </c>
      <c r="AM38" s="8">
        <f t="shared" si="19"/>
        <v>16036.473376007938</v>
      </c>
      <c r="AN38" s="8">
        <f t="shared" si="20"/>
        <v>16.826341825445081</v>
      </c>
      <c r="AO38" s="8">
        <f t="shared" si="21"/>
        <v>2.1689203848674052E-2</v>
      </c>
      <c r="AP38" s="8">
        <f t="shared" si="22"/>
        <v>1.5704606433433228E-7</v>
      </c>
      <c r="AQ38" s="8">
        <f t="shared" si="23"/>
        <v>2.5184636976839014E-3</v>
      </c>
      <c r="AR38" s="8">
        <f t="shared" si="24"/>
        <v>3.70015534400603E-6</v>
      </c>
      <c r="AS38" s="8">
        <f t="shared" si="25"/>
        <v>7.4016654475384287E-9</v>
      </c>
      <c r="AT38" s="8">
        <f t="shared" si="26"/>
        <v>6378245.0884971283</v>
      </c>
      <c r="AU38" s="8">
        <f t="shared" si="27"/>
        <v>8.2088351658514316E-2</v>
      </c>
      <c r="AV38" s="8">
        <f t="shared" si="28"/>
        <v>2.0361313720839145E-3</v>
      </c>
      <c r="AW38" s="8">
        <f t="shared" si="29"/>
        <v>1.0067384974780118</v>
      </c>
      <c r="AX38" s="58">
        <f t="shared" si="30"/>
        <v>2.0345549675285794E-3</v>
      </c>
      <c r="AY38" s="59">
        <f t="shared" si="31"/>
        <v>0</v>
      </c>
      <c r="AZ38" s="60">
        <f t="shared" si="32"/>
        <v>6</v>
      </c>
      <c r="BA38" s="61">
        <f t="shared" si="33"/>
        <v>59.657086176349864</v>
      </c>
      <c r="BB38" s="56">
        <f t="shared" si="34"/>
        <v>0.11657141282676385</v>
      </c>
      <c r="BC38" s="56">
        <f t="shared" si="35"/>
        <v>-3.9185715631620689E-2</v>
      </c>
      <c r="BD38" s="56">
        <f t="shared" si="36"/>
        <v>0.63276604638619627</v>
      </c>
      <c r="BE38" s="56">
        <f t="shared" si="37"/>
        <v>36.254823877108315</v>
      </c>
      <c r="BF38" s="62">
        <f t="shared" si="38"/>
        <v>36</v>
      </c>
      <c r="BG38" s="60">
        <f t="shared" si="39"/>
        <v>15</v>
      </c>
      <c r="BH38" s="63">
        <f t="shared" si="40"/>
        <v>17.365957589933601</v>
      </c>
      <c r="BI38" s="64">
        <f t="shared" si="41"/>
        <v>5143373.1390186641</v>
      </c>
      <c r="BJ38" s="65">
        <f t="shared" si="42"/>
        <v>3771943.1014487948</v>
      </c>
      <c r="BK38" s="66">
        <f t="shared" si="43"/>
        <v>12890.021538123134</v>
      </c>
      <c r="BL38" s="55">
        <f t="shared" si="89"/>
        <v>23.92</v>
      </c>
      <c r="BM38" s="6">
        <f t="shared" si="89"/>
        <v>-141.27000000000001</v>
      </c>
      <c r="BN38" s="6">
        <f t="shared" si="89"/>
        <v>-80.900000000000006</v>
      </c>
      <c r="BO38" s="6">
        <f t="shared" si="89"/>
        <v>0</v>
      </c>
      <c r="BP38" s="6">
        <f t="shared" si="89"/>
        <v>-0.35</v>
      </c>
      <c r="BQ38" s="6">
        <f t="shared" si="89"/>
        <v>-0.82</v>
      </c>
      <c r="BR38" s="6">
        <f t="shared" si="90"/>
        <v>0</v>
      </c>
      <c r="BS38" s="6">
        <f t="shared" si="90"/>
        <v>-1.6968478838833759E-6</v>
      </c>
      <c r="BT38" s="6">
        <f t="shared" si="90"/>
        <v>-3.9754721850981945E-6</v>
      </c>
      <c r="BU38" s="67">
        <f t="shared" si="44"/>
        <v>-0.22</v>
      </c>
      <c r="BV38" s="59">
        <f t="shared" si="45"/>
        <v>5143380.9540973902</v>
      </c>
      <c r="BW38" s="60">
        <f t="shared" si="46"/>
        <v>3771821.4489536658</v>
      </c>
      <c r="BX38" s="68">
        <f t="shared" si="47"/>
        <v>12800.391182411484</v>
      </c>
      <c r="BY38" s="55">
        <f t="shared" si="91"/>
        <v>23.92</v>
      </c>
      <c r="BZ38" s="6">
        <f t="shared" si="91"/>
        <v>-141.27000000000001</v>
      </c>
      <c r="CA38" s="6">
        <f t="shared" si="91"/>
        <v>-80.900000000000006</v>
      </c>
      <c r="CB38" s="6">
        <f t="shared" si="91"/>
        <v>0</v>
      </c>
      <c r="CC38" s="6">
        <f t="shared" si="91"/>
        <v>-0.35</v>
      </c>
      <c r="CD38" s="6">
        <f t="shared" si="91"/>
        <v>-0.82</v>
      </c>
      <c r="CE38" s="6">
        <f t="shared" si="92"/>
        <v>0</v>
      </c>
      <c r="CF38" s="6">
        <f t="shared" si="92"/>
        <v>-1.6968478838833759E-6</v>
      </c>
      <c r="CG38" s="6">
        <f t="shared" si="92"/>
        <v>-3.9754721850981945E-6</v>
      </c>
      <c r="CH38" s="67">
        <f t="shared" si="48"/>
        <v>-0.22</v>
      </c>
      <c r="CI38" s="64">
        <f t="shared" si="49"/>
        <v>5143373.1386954347</v>
      </c>
      <c r="CJ38" s="65">
        <f t="shared" si="50"/>
        <v>3771943.1013819654</v>
      </c>
      <c r="CK38" s="66">
        <f t="shared" si="51"/>
        <v>12890.021535505568</v>
      </c>
      <c r="CL38" s="69">
        <f t="shared" si="52"/>
        <v>6378231.8869665386</v>
      </c>
      <c r="CM38" s="6">
        <f t="shared" si="53"/>
        <v>6378245</v>
      </c>
      <c r="CN38" s="6">
        <f t="shared" si="53"/>
        <v>3.352329869259135E-3</v>
      </c>
      <c r="CO38" s="9">
        <f t="shared" si="54"/>
        <v>6.6934216229659433E-3</v>
      </c>
      <c r="CP38" s="9">
        <f t="shared" si="55"/>
        <v>6378244.911930861</v>
      </c>
      <c r="CQ38" s="9">
        <f t="shared" si="56"/>
        <v>2.0209368702047577E-3</v>
      </c>
      <c r="CR38" s="9">
        <f t="shared" si="57"/>
        <v>3.3467108576934797E-3</v>
      </c>
      <c r="CS38" s="9">
        <f t="shared" ca="1" si="58"/>
        <v>1.3618097007062995E-5</v>
      </c>
      <c r="CT38" s="9">
        <f t="shared" ca="1" si="59"/>
        <v>2.0345549672118207E-3</v>
      </c>
      <c r="CU38" s="46">
        <f t="shared" ca="1" si="6"/>
        <v>1.3618097007062995E-5</v>
      </c>
      <c r="CV38" s="70">
        <f t="shared" ca="1" si="60"/>
        <v>0</v>
      </c>
      <c r="CW38" s="71">
        <f t="shared" ca="1" si="61"/>
        <v>2.0345549672118207E-3</v>
      </c>
      <c r="CX38" s="59">
        <f t="shared" ca="1" si="62"/>
        <v>0</v>
      </c>
      <c r="CY38" s="60">
        <f t="shared" ca="1" si="63"/>
        <v>6</v>
      </c>
      <c r="CZ38" s="61">
        <f t="shared" ca="1" si="64"/>
        <v>59.6571</v>
      </c>
      <c r="DA38" s="6">
        <f t="shared" ca="1" si="65"/>
        <v>0.11657141280861491</v>
      </c>
      <c r="DB38" s="6">
        <f t="shared" si="66"/>
        <v>0.63276604640771628</v>
      </c>
      <c r="DC38" s="6">
        <f t="shared" si="67"/>
        <v>0</v>
      </c>
      <c r="DD38" s="6">
        <f t="shared" si="68"/>
        <v>0.63276604640771628</v>
      </c>
      <c r="DE38" s="60">
        <f t="shared" si="69"/>
        <v>36</v>
      </c>
      <c r="DF38" s="60">
        <f t="shared" si="70"/>
        <v>15</v>
      </c>
      <c r="DG38" s="61">
        <f t="shared" si="71"/>
        <v>17.366</v>
      </c>
      <c r="DH38" s="6">
        <f t="shared" si="72"/>
        <v>36.254823878341327</v>
      </c>
      <c r="DI38" s="66">
        <f t="shared" ca="1" si="73"/>
        <v>-3.001755103468895E-4</v>
      </c>
      <c r="DJ38" s="55">
        <f t="shared" si="74"/>
        <v>39</v>
      </c>
      <c r="DK38" s="6">
        <f t="shared" si="75"/>
        <v>-4.7912361870072265E-2</v>
      </c>
      <c r="DL38" s="6">
        <f t="shared" si="76"/>
        <v>6356863.0187730473</v>
      </c>
      <c r="DM38" s="6">
        <f t="shared" si="77"/>
        <v>6.7385254146834087E-3</v>
      </c>
      <c r="DN38" s="72">
        <f t="shared" ca="1" si="78"/>
        <v>6.7384975211760307E-3</v>
      </c>
      <c r="DO38" s="73">
        <f t="shared" ca="1" si="79"/>
        <v>6378245.0883603953</v>
      </c>
      <c r="DP38" s="6">
        <f t="shared" si="80"/>
        <v>1.0050517725429551</v>
      </c>
      <c r="DQ38" s="6">
        <f t="shared" si="81"/>
        <v>-2.5311877419908228E-3</v>
      </c>
      <c r="DR38" s="6">
        <f t="shared" si="82"/>
        <v>2.6558601241364054E-6</v>
      </c>
      <c r="DS38" s="6">
        <f t="shared" si="83"/>
        <v>-3.4165783147131439E-9</v>
      </c>
      <c r="DT38" s="6">
        <f t="shared" si="93"/>
        <v>7</v>
      </c>
      <c r="DU38" s="6">
        <f t="shared" si="93"/>
        <v>0</v>
      </c>
      <c r="DV38" s="6">
        <f t="shared" si="93"/>
        <v>500000</v>
      </c>
      <c r="DW38" s="6">
        <f t="shared" si="93"/>
        <v>1</v>
      </c>
      <c r="DX38" s="74">
        <f t="shared" ca="1" si="84"/>
        <v>12890.030428976437</v>
      </c>
      <c r="DY38" s="58">
        <f t="shared" ca="1" si="85"/>
        <v>-305713.93034284032</v>
      </c>
      <c r="DZ38" s="64">
        <f t="shared" ca="1" si="86"/>
        <v>12904.939659140397</v>
      </c>
      <c r="EA38" s="66">
        <f t="shared" ca="1" si="87"/>
        <v>7194286.06965716</v>
      </c>
    </row>
    <row r="39" spans="1:131" ht="15.75" x14ac:dyDescent="0.25">
      <c r="J39" s="80"/>
      <c r="T39" s="53">
        <v>32</v>
      </c>
      <c r="U39" s="26"/>
      <c r="V39" s="26"/>
      <c r="W39" s="54"/>
      <c r="X39" s="55">
        <f t="shared" si="88"/>
        <v>1</v>
      </c>
      <c r="Y39" s="6">
        <f t="shared" si="88"/>
        <v>-12900</v>
      </c>
      <c r="Z39" s="6">
        <f t="shared" si="88"/>
        <v>250000</v>
      </c>
      <c r="AA39" s="6">
        <f t="shared" si="10"/>
        <v>0</v>
      </c>
      <c r="AB39" s="30">
        <f t="shared" si="8"/>
        <v>12900</v>
      </c>
      <c r="AC39" s="30">
        <f t="shared" si="9"/>
        <v>-250000</v>
      </c>
      <c r="AD39" s="6">
        <f t="shared" si="11"/>
        <v>38.5</v>
      </c>
      <c r="AE39" s="6">
        <f t="shared" si="11"/>
        <v>6378245</v>
      </c>
      <c r="AF39" s="6">
        <f t="shared" si="12"/>
        <v>6356863.0187730473</v>
      </c>
      <c r="AG39" s="6">
        <f t="shared" si="13"/>
        <v>3.352329869259135E-3</v>
      </c>
      <c r="AH39" s="8">
        <f t="shared" si="14"/>
        <v>6.6934216229658618E-3</v>
      </c>
      <c r="AI39" s="56">
        <f t="shared" si="15"/>
        <v>6.7385254146834087E-3</v>
      </c>
      <c r="AJ39" s="57">
        <f t="shared" si="16"/>
        <v>6378245.0883603953</v>
      </c>
      <c r="AK39" s="8">
        <f t="shared" si="17"/>
        <v>2.0361285582720838E-3</v>
      </c>
      <c r="AL39" s="8">
        <f t="shared" si="18"/>
        <v>6367558.4882606138</v>
      </c>
      <c r="AM39" s="8">
        <f t="shared" si="19"/>
        <v>16036.473376007938</v>
      </c>
      <c r="AN39" s="8">
        <f t="shared" si="20"/>
        <v>16.826341825445081</v>
      </c>
      <c r="AO39" s="8">
        <f t="shared" si="21"/>
        <v>2.1689203848674052E-2</v>
      </c>
      <c r="AP39" s="8">
        <f t="shared" si="22"/>
        <v>1.5704606433433228E-7</v>
      </c>
      <c r="AQ39" s="8">
        <f t="shared" si="23"/>
        <v>2.5184636976839014E-3</v>
      </c>
      <c r="AR39" s="8">
        <f t="shared" si="24"/>
        <v>3.70015534400603E-6</v>
      </c>
      <c r="AS39" s="8">
        <f t="shared" si="25"/>
        <v>7.4016654475384287E-9</v>
      </c>
      <c r="AT39" s="8">
        <f t="shared" si="26"/>
        <v>6378245.0884971283</v>
      </c>
      <c r="AU39" s="8">
        <f t="shared" si="27"/>
        <v>8.2088351658514316E-2</v>
      </c>
      <c r="AV39" s="8">
        <f t="shared" si="28"/>
        <v>2.0361313720839145E-3</v>
      </c>
      <c r="AW39" s="8">
        <f t="shared" si="29"/>
        <v>1.0067384974780118</v>
      </c>
      <c r="AX39" s="58">
        <f t="shared" si="30"/>
        <v>2.0345549675285794E-3</v>
      </c>
      <c r="AY39" s="59">
        <f t="shared" si="31"/>
        <v>0</v>
      </c>
      <c r="AZ39" s="60">
        <f t="shared" si="32"/>
        <v>6</v>
      </c>
      <c r="BA39" s="61">
        <f t="shared" si="33"/>
        <v>59.657086176349864</v>
      </c>
      <c r="BB39" s="56">
        <f t="shared" si="34"/>
        <v>0.11657141282676385</v>
      </c>
      <c r="BC39" s="56">
        <f t="shared" si="35"/>
        <v>-3.9185715631620689E-2</v>
      </c>
      <c r="BD39" s="56">
        <f t="shared" si="36"/>
        <v>0.63276604638619627</v>
      </c>
      <c r="BE39" s="56">
        <f t="shared" si="37"/>
        <v>36.254823877108315</v>
      </c>
      <c r="BF39" s="62">
        <f t="shared" si="38"/>
        <v>36</v>
      </c>
      <c r="BG39" s="60">
        <f t="shared" si="39"/>
        <v>15</v>
      </c>
      <c r="BH39" s="63">
        <f t="shared" si="40"/>
        <v>17.365957589933601</v>
      </c>
      <c r="BI39" s="64">
        <f t="shared" si="41"/>
        <v>5143373.1390186641</v>
      </c>
      <c r="BJ39" s="65">
        <f t="shared" si="42"/>
        <v>3771943.1014487948</v>
      </c>
      <c r="BK39" s="66">
        <f t="shared" si="43"/>
        <v>12890.021538123134</v>
      </c>
      <c r="BL39" s="55">
        <f t="shared" si="89"/>
        <v>23.92</v>
      </c>
      <c r="BM39" s="6">
        <f t="shared" si="89"/>
        <v>-141.27000000000001</v>
      </c>
      <c r="BN39" s="6">
        <f t="shared" si="89"/>
        <v>-80.900000000000006</v>
      </c>
      <c r="BO39" s="6">
        <f t="shared" si="89"/>
        <v>0</v>
      </c>
      <c r="BP39" s="6">
        <f t="shared" si="89"/>
        <v>-0.35</v>
      </c>
      <c r="BQ39" s="6">
        <f t="shared" si="89"/>
        <v>-0.82</v>
      </c>
      <c r="BR39" s="6">
        <f t="shared" si="90"/>
        <v>0</v>
      </c>
      <c r="BS39" s="6">
        <f t="shared" si="90"/>
        <v>-1.6968478838833759E-6</v>
      </c>
      <c r="BT39" s="6">
        <f t="shared" si="90"/>
        <v>-3.9754721850981945E-6</v>
      </c>
      <c r="BU39" s="67">
        <f t="shared" si="44"/>
        <v>-0.22</v>
      </c>
      <c r="BV39" s="59">
        <f t="shared" si="45"/>
        <v>5143380.9540973902</v>
      </c>
      <c r="BW39" s="60">
        <f t="shared" si="46"/>
        <v>3771821.4489536658</v>
      </c>
      <c r="BX39" s="68">
        <f t="shared" si="47"/>
        <v>12800.391182411484</v>
      </c>
      <c r="BY39" s="55">
        <f t="shared" si="91"/>
        <v>23.92</v>
      </c>
      <c r="BZ39" s="6">
        <f t="shared" si="91"/>
        <v>-141.27000000000001</v>
      </c>
      <c r="CA39" s="6">
        <f t="shared" si="91"/>
        <v>-80.900000000000006</v>
      </c>
      <c r="CB39" s="6">
        <f t="shared" si="91"/>
        <v>0</v>
      </c>
      <c r="CC39" s="6">
        <f t="shared" si="91"/>
        <v>-0.35</v>
      </c>
      <c r="CD39" s="6">
        <f t="shared" si="91"/>
        <v>-0.82</v>
      </c>
      <c r="CE39" s="6">
        <f t="shared" si="92"/>
        <v>0</v>
      </c>
      <c r="CF39" s="6">
        <f t="shared" si="92"/>
        <v>-1.6968478838833759E-6</v>
      </c>
      <c r="CG39" s="6">
        <f t="shared" si="92"/>
        <v>-3.9754721850981945E-6</v>
      </c>
      <c r="CH39" s="67">
        <f t="shared" si="48"/>
        <v>-0.22</v>
      </c>
      <c r="CI39" s="64">
        <f t="shared" si="49"/>
        <v>5143373.1386954347</v>
      </c>
      <c r="CJ39" s="65">
        <f t="shared" si="50"/>
        <v>3771943.1013819654</v>
      </c>
      <c r="CK39" s="66">
        <f t="shared" si="51"/>
        <v>12890.021535505568</v>
      </c>
      <c r="CL39" s="69">
        <f t="shared" si="52"/>
        <v>6378231.8869665386</v>
      </c>
      <c r="CM39" s="6">
        <f t="shared" si="53"/>
        <v>6378245</v>
      </c>
      <c r="CN39" s="6">
        <f t="shared" si="53"/>
        <v>3.352329869259135E-3</v>
      </c>
      <c r="CO39" s="9">
        <f t="shared" si="54"/>
        <v>6.6934216229659433E-3</v>
      </c>
      <c r="CP39" s="9">
        <f t="shared" si="55"/>
        <v>6378244.911930861</v>
      </c>
      <c r="CQ39" s="9">
        <f t="shared" si="56"/>
        <v>2.0209368702047577E-3</v>
      </c>
      <c r="CR39" s="9">
        <f t="shared" si="57"/>
        <v>3.3467108576934797E-3</v>
      </c>
      <c r="CS39" s="9">
        <f t="shared" ca="1" si="58"/>
        <v>1.3618097007062995E-5</v>
      </c>
      <c r="CT39" s="9">
        <f t="shared" ca="1" si="59"/>
        <v>2.0345549672118207E-3</v>
      </c>
      <c r="CU39" s="46">
        <f t="shared" ca="1" si="6"/>
        <v>1.3618097007062995E-5</v>
      </c>
      <c r="CV39" s="70">
        <f t="shared" ca="1" si="60"/>
        <v>0</v>
      </c>
      <c r="CW39" s="71">
        <f t="shared" ca="1" si="61"/>
        <v>2.0345549672118207E-3</v>
      </c>
      <c r="CX39" s="59">
        <f t="shared" ca="1" si="62"/>
        <v>0</v>
      </c>
      <c r="CY39" s="60">
        <f t="shared" ca="1" si="63"/>
        <v>6</v>
      </c>
      <c r="CZ39" s="61">
        <f t="shared" ca="1" si="64"/>
        <v>59.6571</v>
      </c>
      <c r="DA39" s="6">
        <f t="shared" ca="1" si="65"/>
        <v>0.11657141280861491</v>
      </c>
      <c r="DB39" s="6">
        <f t="shared" si="66"/>
        <v>0.63276604640771628</v>
      </c>
      <c r="DC39" s="6">
        <f t="shared" si="67"/>
        <v>0</v>
      </c>
      <c r="DD39" s="6">
        <f t="shared" si="68"/>
        <v>0.63276604640771628</v>
      </c>
      <c r="DE39" s="60">
        <f t="shared" si="69"/>
        <v>36</v>
      </c>
      <c r="DF39" s="60">
        <f t="shared" si="70"/>
        <v>15</v>
      </c>
      <c r="DG39" s="61">
        <f t="shared" si="71"/>
        <v>17.366</v>
      </c>
      <c r="DH39" s="6">
        <f t="shared" si="72"/>
        <v>36.254823878341327</v>
      </c>
      <c r="DI39" s="66">
        <f t="shared" ca="1" si="73"/>
        <v>-3.001755103468895E-4</v>
      </c>
      <c r="DJ39" s="55">
        <f t="shared" si="74"/>
        <v>39</v>
      </c>
      <c r="DK39" s="6">
        <f t="shared" si="75"/>
        <v>-4.7912361870072265E-2</v>
      </c>
      <c r="DL39" s="6">
        <f t="shared" si="76"/>
        <v>6356863.0187730473</v>
      </c>
      <c r="DM39" s="6">
        <f t="shared" si="77"/>
        <v>6.7385254146834087E-3</v>
      </c>
      <c r="DN39" s="72">
        <f t="shared" ca="1" si="78"/>
        <v>6.7384975211760307E-3</v>
      </c>
      <c r="DO39" s="73">
        <f t="shared" ca="1" si="79"/>
        <v>6378245.0883603953</v>
      </c>
      <c r="DP39" s="6">
        <f t="shared" si="80"/>
        <v>1.0050517725429551</v>
      </c>
      <c r="DQ39" s="6">
        <f t="shared" si="81"/>
        <v>-2.5311877419908228E-3</v>
      </c>
      <c r="DR39" s="6">
        <f t="shared" si="82"/>
        <v>2.6558601241364054E-6</v>
      </c>
      <c r="DS39" s="6">
        <f t="shared" si="83"/>
        <v>-3.4165783147131439E-9</v>
      </c>
      <c r="DT39" s="6">
        <f t="shared" si="93"/>
        <v>7</v>
      </c>
      <c r="DU39" s="6">
        <f t="shared" si="93"/>
        <v>0</v>
      </c>
      <c r="DV39" s="6">
        <f t="shared" si="93"/>
        <v>500000</v>
      </c>
      <c r="DW39" s="6">
        <f t="shared" si="93"/>
        <v>1</v>
      </c>
      <c r="DX39" s="74">
        <f t="shared" ca="1" si="84"/>
        <v>12890.030428976437</v>
      </c>
      <c r="DY39" s="58">
        <f t="shared" ca="1" si="85"/>
        <v>-305713.93034284032</v>
      </c>
      <c r="DZ39" s="64">
        <f t="shared" ca="1" si="86"/>
        <v>12904.939659140397</v>
      </c>
      <c r="EA39" s="66">
        <f t="shared" ca="1" si="87"/>
        <v>7194286.06965716</v>
      </c>
    </row>
    <row r="40" spans="1:131" ht="15.75" x14ac:dyDescent="0.25">
      <c r="J40" s="80"/>
      <c r="T40" s="53">
        <v>33</v>
      </c>
      <c r="U40" s="26"/>
      <c r="V40" s="26"/>
      <c r="W40" s="54"/>
      <c r="X40" s="55">
        <f t="shared" si="88"/>
        <v>1</v>
      </c>
      <c r="Y40" s="6">
        <f t="shared" si="88"/>
        <v>-12900</v>
      </c>
      <c r="Z40" s="6">
        <f t="shared" si="88"/>
        <v>250000</v>
      </c>
      <c r="AA40" s="6">
        <f t="shared" si="10"/>
        <v>0</v>
      </c>
      <c r="AB40" s="30">
        <f t="shared" si="8"/>
        <v>12900</v>
      </c>
      <c r="AC40" s="30">
        <f t="shared" si="9"/>
        <v>-250000</v>
      </c>
      <c r="AD40" s="6">
        <f t="shared" si="11"/>
        <v>38.5</v>
      </c>
      <c r="AE40" s="6">
        <f t="shared" si="11"/>
        <v>6378245</v>
      </c>
      <c r="AF40" s="6">
        <f t="shared" si="12"/>
        <v>6356863.0187730473</v>
      </c>
      <c r="AG40" s="6">
        <f t="shared" si="13"/>
        <v>3.352329869259135E-3</v>
      </c>
      <c r="AH40" s="8">
        <f t="shared" si="14"/>
        <v>6.6934216229658618E-3</v>
      </c>
      <c r="AI40" s="56">
        <f t="shared" si="15"/>
        <v>6.7385254146834087E-3</v>
      </c>
      <c r="AJ40" s="57">
        <f t="shared" si="16"/>
        <v>6378245.0883603953</v>
      </c>
      <c r="AK40" s="8">
        <f t="shared" si="17"/>
        <v>2.0361285582720838E-3</v>
      </c>
      <c r="AL40" s="8">
        <f t="shared" si="18"/>
        <v>6367558.4882606138</v>
      </c>
      <c r="AM40" s="8">
        <f t="shared" si="19"/>
        <v>16036.473376007938</v>
      </c>
      <c r="AN40" s="8">
        <f t="shared" si="20"/>
        <v>16.826341825445081</v>
      </c>
      <c r="AO40" s="8">
        <f t="shared" si="21"/>
        <v>2.1689203848674052E-2</v>
      </c>
      <c r="AP40" s="8">
        <f t="shared" si="22"/>
        <v>1.5704606433433228E-7</v>
      </c>
      <c r="AQ40" s="8">
        <f t="shared" si="23"/>
        <v>2.5184636976839014E-3</v>
      </c>
      <c r="AR40" s="8">
        <f t="shared" si="24"/>
        <v>3.70015534400603E-6</v>
      </c>
      <c r="AS40" s="8">
        <f t="shared" si="25"/>
        <v>7.4016654475384287E-9</v>
      </c>
      <c r="AT40" s="8">
        <f t="shared" si="26"/>
        <v>6378245.0884971283</v>
      </c>
      <c r="AU40" s="8">
        <f t="shared" si="27"/>
        <v>8.2088351658514316E-2</v>
      </c>
      <c r="AV40" s="8">
        <f t="shared" si="28"/>
        <v>2.0361313720839145E-3</v>
      </c>
      <c r="AW40" s="8">
        <f t="shared" si="29"/>
        <v>1.0067384974780118</v>
      </c>
      <c r="AX40" s="58">
        <f t="shared" si="30"/>
        <v>2.0345549675285794E-3</v>
      </c>
      <c r="AY40" s="59">
        <f t="shared" si="31"/>
        <v>0</v>
      </c>
      <c r="AZ40" s="60">
        <f t="shared" si="32"/>
        <v>6</v>
      </c>
      <c r="BA40" s="61">
        <f t="shared" si="33"/>
        <v>59.657086176349864</v>
      </c>
      <c r="BB40" s="56">
        <f t="shared" si="34"/>
        <v>0.11657141282676385</v>
      </c>
      <c r="BC40" s="56">
        <f t="shared" si="35"/>
        <v>-3.9185715631620689E-2</v>
      </c>
      <c r="BD40" s="56">
        <f t="shared" si="36"/>
        <v>0.63276604638619627</v>
      </c>
      <c r="BE40" s="56">
        <f t="shared" si="37"/>
        <v>36.254823877108315</v>
      </c>
      <c r="BF40" s="62">
        <f t="shared" si="38"/>
        <v>36</v>
      </c>
      <c r="BG40" s="60">
        <f t="shared" si="39"/>
        <v>15</v>
      </c>
      <c r="BH40" s="63">
        <f t="shared" si="40"/>
        <v>17.365957589933601</v>
      </c>
      <c r="BI40" s="64">
        <f t="shared" si="41"/>
        <v>5143373.1390186641</v>
      </c>
      <c r="BJ40" s="65">
        <f t="shared" si="42"/>
        <v>3771943.1014487948</v>
      </c>
      <c r="BK40" s="66">
        <f t="shared" si="43"/>
        <v>12890.021538123134</v>
      </c>
      <c r="BL40" s="55">
        <f t="shared" si="89"/>
        <v>23.92</v>
      </c>
      <c r="BM40" s="6">
        <f t="shared" si="89"/>
        <v>-141.27000000000001</v>
      </c>
      <c r="BN40" s="6">
        <f t="shared" si="89"/>
        <v>-80.900000000000006</v>
      </c>
      <c r="BO40" s="6">
        <f t="shared" si="89"/>
        <v>0</v>
      </c>
      <c r="BP40" s="6">
        <f t="shared" si="89"/>
        <v>-0.35</v>
      </c>
      <c r="BQ40" s="6">
        <f t="shared" si="89"/>
        <v>-0.82</v>
      </c>
      <c r="BR40" s="6">
        <f t="shared" si="90"/>
        <v>0</v>
      </c>
      <c r="BS40" s="6">
        <f t="shared" si="90"/>
        <v>-1.6968478838833759E-6</v>
      </c>
      <c r="BT40" s="6">
        <f t="shared" si="90"/>
        <v>-3.9754721850981945E-6</v>
      </c>
      <c r="BU40" s="67">
        <f t="shared" si="44"/>
        <v>-0.22</v>
      </c>
      <c r="BV40" s="59">
        <f t="shared" si="45"/>
        <v>5143380.9540973902</v>
      </c>
      <c r="BW40" s="60">
        <f t="shared" si="46"/>
        <v>3771821.4489536658</v>
      </c>
      <c r="BX40" s="68">
        <f t="shared" si="47"/>
        <v>12800.391182411484</v>
      </c>
      <c r="BY40" s="55">
        <f t="shared" si="91"/>
        <v>23.92</v>
      </c>
      <c r="BZ40" s="6">
        <f t="shared" si="91"/>
        <v>-141.27000000000001</v>
      </c>
      <c r="CA40" s="6">
        <f t="shared" si="91"/>
        <v>-80.900000000000006</v>
      </c>
      <c r="CB40" s="6">
        <f t="shared" si="91"/>
        <v>0</v>
      </c>
      <c r="CC40" s="6">
        <f t="shared" si="91"/>
        <v>-0.35</v>
      </c>
      <c r="CD40" s="6">
        <f t="shared" si="91"/>
        <v>-0.82</v>
      </c>
      <c r="CE40" s="6">
        <f t="shared" si="92"/>
        <v>0</v>
      </c>
      <c r="CF40" s="6">
        <f t="shared" si="92"/>
        <v>-1.6968478838833759E-6</v>
      </c>
      <c r="CG40" s="6">
        <f t="shared" si="92"/>
        <v>-3.9754721850981945E-6</v>
      </c>
      <c r="CH40" s="67">
        <f t="shared" si="48"/>
        <v>-0.22</v>
      </c>
      <c r="CI40" s="64">
        <f t="shared" si="49"/>
        <v>5143373.1386954347</v>
      </c>
      <c r="CJ40" s="65">
        <f t="shared" si="50"/>
        <v>3771943.1013819654</v>
      </c>
      <c r="CK40" s="66">
        <f t="shared" si="51"/>
        <v>12890.021535505568</v>
      </c>
      <c r="CL40" s="69">
        <f t="shared" si="52"/>
        <v>6378231.8869665386</v>
      </c>
      <c r="CM40" s="6">
        <f t="shared" si="53"/>
        <v>6378245</v>
      </c>
      <c r="CN40" s="6">
        <f t="shared" si="53"/>
        <v>3.352329869259135E-3</v>
      </c>
      <c r="CO40" s="9">
        <f t="shared" si="54"/>
        <v>6.6934216229659433E-3</v>
      </c>
      <c r="CP40" s="9">
        <f t="shared" si="55"/>
        <v>6378244.911930861</v>
      </c>
      <c r="CQ40" s="9">
        <f t="shared" si="56"/>
        <v>2.0209368702047577E-3</v>
      </c>
      <c r="CR40" s="9">
        <f t="shared" si="57"/>
        <v>3.3467108576934797E-3</v>
      </c>
      <c r="CS40" s="9">
        <f t="shared" ca="1" si="58"/>
        <v>1.3618097007062995E-5</v>
      </c>
      <c r="CT40" s="9">
        <f t="shared" ca="1" si="59"/>
        <v>2.0345549672118207E-3</v>
      </c>
      <c r="CU40" s="46">
        <f t="shared" ref="CU40:CU71" ca="1" si="94">ASIN((CR40*SIN(2*CT40))/((1-CO40*(SIN(CT40))^2)^0.5))</f>
        <v>1.3618097007062995E-5</v>
      </c>
      <c r="CV40" s="70">
        <f t="shared" ca="1" si="60"/>
        <v>0</v>
      </c>
      <c r="CW40" s="71">
        <f t="shared" ca="1" si="61"/>
        <v>2.0345549672118207E-3</v>
      </c>
      <c r="CX40" s="59">
        <f t="shared" ca="1" si="62"/>
        <v>0</v>
      </c>
      <c r="CY40" s="60">
        <f t="shared" ca="1" si="63"/>
        <v>6</v>
      </c>
      <c r="CZ40" s="61">
        <f t="shared" ca="1" si="64"/>
        <v>59.6571</v>
      </c>
      <c r="DA40" s="6">
        <f t="shared" ca="1" si="65"/>
        <v>0.11657141280861491</v>
      </c>
      <c r="DB40" s="6">
        <f t="shared" si="66"/>
        <v>0.63276604640771628</v>
      </c>
      <c r="DC40" s="6">
        <f t="shared" si="67"/>
        <v>0</v>
      </c>
      <c r="DD40" s="6">
        <f t="shared" si="68"/>
        <v>0.63276604640771628</v>
      </c>
      <c r="DE40" s="60">
        <f t="shared" si="69"/>
        <v>36</v>
      </c>
      <c r="DF40" s="60">
        <f t="shared" si="70"/>
        <v>15</v>
      </c>
      <c r="DG40" s="61">
        <f t="shared" si="71"/>
        <v>17.366</v>
      </c>
      <c r="DH40" s="6">
        <f t="shared" si="72"/>
        <v>36.254823878341327</v>
      </c>
      <c r="DI40" s="66">
        <f t="shared" ca="1" si="73"/>
        <v>-3.001755103468895E-4</v>
      </c>
      <c r="DJ40" s="55">
        <f t="shared" si="74"/>
        <v>39</v>
      </c>
      <c r="DK40" s="6">
        <f t="shared" si="75"/>
        <v>-4.7912361870072265E-2</v>
      </c>
      <c r="DL40" s="6">
        <f t="shared" si="76"/>
        <v>6356863.0187730473</v>
      </c>
      <c r="DM40" s="6">
        <f t="shared" si="77"/>
        <v>6.7385254146834087E-3</v>
      </c>
      <c r="DN40" s="72">
        <f t="shared" ca="1" si="78"/>
        <v>6.7384975211760307E-3</v>
      </c>
      <c r="DO40" s="73">
        <f t="shared" ca="1" si="79"/>
        <v>6378245.0883603953</v>
      </c>
      <c r="DP40" s="6">
        <f t="shared" si="80"/>
        <v>1.0050517725429551</v>
      </c>
      <c r="DQ40" s="6">
        <f t="shared" si="81"/>
        <v>-2.5311877419908228E-3</v>
      </c>
      <c r="DR40" s="6">
        <f t="shared" si="82"/>
        <v>2.6558601241364054E-6</v>
      </c>
      <c r="DS40" s="6">
        <f t="shared" si="83"/>
        <v>-3.4165783147131439E-9</v>
      </c>
      <c r="DT40" s="6">
        <f t="shared" si="93"/>
        <v>7</v>
      </c>
      <c r="DU40" s="6">
        <f t="shared" si="93"/>
        <v>0</v>
      </c>
      <c r="DV40" s="6">
        <f t="shared" si="93"/>
        <v>500000</v>
      </c>
      <c r="DW40" s="6">
        <f t="shared" si="93"/>
        <v>1</v>
      </c>
      <c r="DX40" s="74">
        <f t="shared" ca="1" si="84"/>
        <v>12890.030428976437</v>
      </c>
      <c r="DY40" s="58">
        <f t="shared" ca="1" si="85"/>
        <v>-305713.93034284032</v>
      </c>
      <c r="DZ40" s="64">
        <f t="shared" ca="1" si="86"/>
        <v>12904.939659140397</v>
      </c>
      <c r="EA40" s="66">
        <f t="shared" ca="1" si="87"/>
        <v>7194286.06965716</v>
      </c>
    </row>
    <row r="41" spans="1:131" ht="15.75" x14ac:dyDescent="0.25">
      <c r="J41" s="80"/>
      <c r="T41" s="53">
        <v>34</v>
      </c>
      <c r="U41" s="26"/>
      <c r="V41" s="26"/>
      <c r="W41" s="54"/>
      <c r="X41" s="55">
        <f t="shared" si="88"/>
        <v>1</v>
      </c>
      <c r="Y41" s="6">
        <f t="shared" si="88"/>
        <v>-12900</v>
      </c>
      <c r="Z41" s="6">
        <f t="shared" si="88"/>
        <v>250000</v>
      </c>
      <c r="AA41" s="6">
        <f t="shared" si="10"/>
        <v>0</v>
      </c>
      <c r="AB41" s="30">
        <f t="shared" si="8"/>
        <v>12900</v>
      </c>
      <c r="AC41" s="30">
        <f t="shared" si="9"/>
        <v>-250000</v>
      </c>
      <c r="AD41" s="6">
        <f t="shared" si="11"/>
        <v>38.5</v>
      </c>
      <c r="AE41" s="6">
        <f t="shared" si="11"/>
        <v>6378245</v>
      </c>
      <c r="AF41" s="6">
        <f t="shared" si="12"/>
        <v>6356863.0187730473</v>
      </c>
      <c r="AG41" s="6">
        <f t="shared" si="13"/>
        <v>3.352329869259135E-3</v>
      </c>
      <c r="AH41" s="8">
        <f t="shared" si="14"/>
        <v>6.6934216229658618E-3</v>
      </c>
      <c r="AI41" s="56">
        <f t="shared" si="15"/>
        <v>6.7385254146834087E-3</v>
      </c>
      <c r="AJ41" s="57">
        <f t="shared" si="16"/>
        <v>6378245.0883603953</v>
      </c>
      <c r="AK41" s="8">
        <f t="shared" si="17"/>
        <v>2.0361285582720838E-3</v>
      </c>
      <c r="AL41" s="8">
        <f t="shared" si="18"/>
        <v>6367558.4882606138</v>
      </c>
      <c r="AM41" s="8">
        <f t="shared" si="19"/>
        <v>16036.473376007938</v>
      </c>
      <c r="AN41" s="8">
        <f t="shared" si="20"/>
        <v>16.826341825445081</v>
      </c>
      <c r="AO41" s="8">
        <f t="shared" si="21"/>
        <v>2.1689203848674052E-2</v>
      </c>
      <c r="AP41" s="8">
        <f t="shared" si="22"/>
        <v>1.5704606433433228E-7</v>
      </c>
      <c r="AQ41" s="8">
        <f t="shared" si="23"/>
        <v>2.5184636976839014E-3</v>
      </c>
      <c r="AR41" s="8">
        <f t="shared" si="24"/>
        <v>3.70015534400603E-6</v>
      </c>
      <c r="AS41" s="8">
        <f t="shared" si="25"/>
        <v>7.4016654475384287E-9</v>
      </c>
      <c r="AT41" s="8">
        <f t="shared" si="26"/>
        <v>6378245.0884971283</v>
      </c>
      <c r="AU41" s="8">
        <f t="shared" si="27"/>
        <v>8.2088351658514316E-2</v>
      </c>
      <c r="AV41" s="8">
        <f t="shared" si="28"/>
        <v>2.0361313720839145E-3</v>
      </c>
      <c r="AW41" s="8">
        <f t="shared" si="29"/>
        <v>1.0067384974780118</v>
      </c>
      <c r="AX41" s="58">
        <f t="shared" si="30"/>
        <v>2.0345549675285794E-3</v>
      </c>
      <c r="AY41" s="59">
        <f t="shared" si="31"/>
        <v>0</v>
      </c>
      <c r="AZ41" s="60">
        <f t="shared" si="32"/>
        <v>6</v>
      </c>
      <c r="BA41" s="61">
        <f t="shared" si="33"/>
        <v>59.657086176349864</v>
      </c>
      <c r="BB41" s="56">
        <f t="shared" si="34"/>
        <v>0.11657141282676385</v>
      </c>
      <c r="BC41" s="56">
        <f t="shared" si="35"/>
        <v>-3.9185715631620689E-2</v>
      </c>
      <c r="BD41" s="56">
        <f t="shared" si="36"/>
        <v>0.63276604638619627</v>
      </c>
      <c r="BE41" s="56">
        <f t="shared" si="37"/>
        <v>36.254823877108315</v>
      </c>
      <c r="BF41" s="62">
        <f t="shared" si="38"/>
        <v>36</v>
      </c>
      <c r="BG41" s="60">
        <f t="shared" si="39"/>
        <v>15</v>
      </c>
      <c r="BH41" s="63">
        <f t="shared" si="40"/>
        <v>17.365957589933601</v>
      </c>
      <c r="BI41" s="64">
        <f t="shared" si="41"/>
        <v>5143373.1390186641</v>
      </c>
      <c r="BJ41" s="65">
        <f t="shared" si="42"/>
        <v>3771943.1014487948</v>
      </c>
      <c r="BK41" s="66">
        <f t="shared" si="43"/>
        <v>12890.021538123134</v>
      </c>
      <c r="BL41" s="55">
        <f t="shared" si="89"/>
        <v>23.92</v>
      </c>
      <c r="BM41" s="6">
        <f t="shared" si="89"/>
        <v>-141.27000000000001</v>
      </c>
      <c r="BN41" s="6">
        <f t="shared" si="89"/>
        <v>-80.900000000000006</v>
      </c>
      <c r="BO41" s="6">
        <f t="shared" si="89"/>
        <v>0</v>
      </c>
      <c r="BP41" s="6">
        <f t="shared" si="89"/>
        <v>-0.35</v>
      </c>
      <c r="BQ41" s="6">
        <f t="shared" si="89"/>
        <v>-0.82</v>
      </c>
      <c r="BR41" s="6">
        <f t="shared" si="90"/>
        <v>0</v>
      </c>
      <c r="BS41" s="6">
        <f t="shared" si="90"/>
        <v>-1.6968478838833759E-6</v>
      </c>
      <c r="BT41" s="6">
        <f t="shared" si="90"/>
        <v>-3.9754721850981945E-6</v>
      </c>
      <c r="BU41" s="67">
        <f t="shared" si="44"/>
        <v>-0.22</v>
      </c>
      <c r="BV41" s="59">
        <f t="shared" si="45"/>
        <v>5143380.9540973902</v>
      </c>
      <c r="BW41" s="60">
        <f t="shared" si="46"/>
        <v>3771821.4489536658</v>
      </c>
      <c r="BX41" s="68">
        <f t="shared" si="47"/>
        <v>12800.391182411484</v>
      </c>
      <c r="BY41" s="55">
        <f t="shared" si="91"/>
        <v>23.92</v>
      </c>
      <c r="BZ41" s="6">
        <f t="shared" si="91"/>
        <v>-141.27000000000001</v>
      </c>
      <c r="CA41" s="6">
        <f t="shared" si="91"/>
        <v>-80.900000000000006</v>
      </c>
      <c r="CB41" s="6">
        <f t="shared" si="91"/>
        <v>0</v>
      </c>
      <c r="CC41" s="6">
        <f t="shared" si="91"/>
        <v>-0.35</v>
      </c>
      <c r="CD41" s="6">
        <f t="shared" si="91"/>
        <v>-0.82</v>
      </c>
      <c r="CE41" s="6">
        <f t="shared" si="92"/>
        <v>0</v>
      </c>
      <c r="CF41" s="6">
        <f t="shared" si="92"/>
        <v>-1.6968478838833759E-6</v>
      </c>
      <c r="CG41" s="6">
        <f t="shared" si="92"/>
        <v>-3.9754721850981945E-6</v>
      </c>
      <c r="CH41" s="67">
        <f t="shared" si="48"/>
        <v>-0.22</v>
      </c>
      <c r="CI41" s="64">
        <f t="shared" si="49"/>
        <v>5143373.1386954347</v>
      </c>
      <c r="CJ41" s="65">
        <f t="shared" si="50"/>
        <v>3771943.1013819654</v>
      </c>
      <c r="CK41" s="66">
        <f t="shared" si="51"/>
        <v>12890.021535505568</v>
      </c>
      <c r="CL41" s="69">
        <f t="shared" si="52"/>
        <v>6378231.8869665386</v>
      </c>
      <c r="CM41" s="6">
        <f t="shared" si="53"/>
        <v>6378245</v>
      </c>
      <c r="CN41" s="6">
        <f t="shared" si="53"/>
        <v>3.352329869259135E-3</v>
      </c>
      <c r="CO41" s="9">
        <f t="shared" si="54"/>
        <v>6.6934216229659433E-3</v>
      </c>
      <c r="CP41" s="9">
        <f t="shared" si="55"/>
        <v>6378244.911930861</v>
      </c>
      <c r="CQ41" s="9">
        <f t="shared" si="56"/>
        <v>2.0209368702047577E-3</v>
      </c>
      <c r="CR41" s="9">
        <f t="shared" si="57"/>
        <v>3.3467108576934797E-3</v>
      </c>
      <c r="CS41" s="9">
        <f t="shared" ca="1" si="58"/>
        <v>1.3618097007062995E-5</v>
      </c>
      <c r="CT41" s="9">
        <f t="shared" ca="1" si="59"/>
        <v>2.0345549672118207E-3</v>
      </c>
      <c r="CU41" s="46">
        <f t="shared" ca="1" si="94"/>
        <v>1.3618097007062995E-5</v>
      </c>
      <c r="CV41" s="70">
        <f t="shared" ca="1" si="60"/>
        <v>0</v>
      </c>
      <c r="CW41" s="71">
        <f t="shared" ca="1" si="61"/>
        <v>2.0345549672118207E-3</v>
      </c>
      <c r="CX41" s="59">
        <f t="shared" ca="1" si="62"/>
        <v>0</v>
      </c>
      <c r="CY41" s="60">
        <f t="shared" ca="1" si="63"/>
        <v>6</v>
      </c>
      <c r="CZ41" s="61">
        <f t="shared" ca="1" si="64"/>
        <v>59.6571</v>
      </c>
      <c r="DA41" s="6">
        <f t="shared" ca="1" si="65"/>
        <v>0.11657141280861491</v>
      </c>
      <c r="DB41" s="6">
        <f t="shared" si="66"/>
        <v>0.63276604640771628</v>
      </c>
      <c r="DC41" s="6">
        <f t="shared" si="67"/>
        <v>0</v>
      </c>
      <c r="DD41" s="6">
        <f t="shared" si="68"/>
        <v>0.63276604640771628</v>
      </c>
      <c r="DE41" s="60">
        <f t="shared" si="69"/>
        <v>36</v>
      </c>
      <c r="DF41" s="60">
        <f t="shared" si="70"/>
        <v>15</v>
      </c>
      <c r="DG41" s="61">
        <f t="shared" si="71"/>
        <v>17.366</v>
      </c>
      <c r="DH41" s="6">
        <f t="shared" si="72"/>
        <v>36.254823878341327</v>
      </c>
      <c r="DI41" s="66">
        <f t="shared" ca="1" si="73"/>
        <v>-3.001755103468895E-4</v>
      </c>
      <c r="DJ41" s="55">
        <f t="shared" si="74"/>
        <v>39</v>
      </c>
      <c r="DK41" s="6">
        <f t="shared" si="75"/>
        <v>-4.7912361870072265E-2</v>
      </c>
      <c r="DL41" s="6">
        <f t="shared" si="76"/>
        <v>6356863.0187730473</v>
      </c>
      <c r="DM41" s="6">
        <f t="shared" si="77"/>
        <v>6.7385254146834087E-3</v>
      </c>
      <c r="DN41" s="72">
        <f t="shared" ca="1" si="78"/>
        <v>6.7384975211760307E-3</v>
      </c>
      <c r="DO41" s="73">
        <f t="shared" ca="1" si="79"/>
        <v>6378245.0883603953</v>
      </c>
      <c r="DP41" s="6">
        <f t="shared" si="80"/>
        <v>1.0050517725429551</v>
      </c>
      <c r="DQ41" s="6">
        <f t="shared" si="81"/>
        <v>-2.5311877419908228E-3</v>
      </c>
      <c r="DR41" s="6">
        <f t="shared" si="82"/>
        <v>2.6558601241364054E-6</v>
      </c>
      <c r="DS41" s="6">
        <f t="shared" si="83"/>
        <v>-3.4165783147131439E-9</v>
      </c>
      <c r="DT41" s="6">
        <f t="shared" si="93"/>
        <v>7</v>
      </c>
      <c r="DU41" s="6">
        <f t="shared" si="93"/>
        <v>0</v>
      </c>
      <c r="DV41" s="6">
        <f t="shared" si="93"/>
        <v>500000</v>
      </c>
      <c r="DW41" s="6">
        <f t="shared" si="93"/>
        <v>1</v>
      </c>
      <c r="DX41" s="74">
        <f t="shared" ca="1" si="84"/>
        <v>12890.030428976437</v>
      </c>
      <c r="DY41" s="58">
        <f t="shared" ca="1" si="85"/>
        <v>-305713.93034284032</v>
      </c>
      <c r="DZ41" s="64">
        <f t="shared" ca="1" si="86"/>
        <v>12904.939659140397</v>
      </c>
      <c r="EA41" s="66">
        <f t="shared" ca="1" si="87"/>
        <v>7194286.06965716</v>
      </c>
    </row>
    <row r="42" spans="1:131" ht="15.75" x14ac:dyDescent="0.25">
      <c r="J42" s="80"/>
      <c r="T42" s="53">
        <v>35</v>
      </c>
      <c r="U42" s="26"/>
      <c r="V42" s="26"/>
      <c r="W42" s="54"/>
      <c r="X42" s="55">
        <f t="shared" si="88"/>
        <v>1</v>
      </c>
      <c r="Y42" s="6">
        <f t="shared" si="88"/>
        <v>-12900</v>
      </c>
      <c r="Z42" s="6">
        <f t="shared" si="88"/>
        <v>250000</v>
      </c>
      <c r="AA42" s="6">
        <f t="shared" si="10"/>
        <v>0</v>
      </c>
      <c r="AB42" s="30">
        <f t="shared" si="8"/>
        <v>12900</v>
      </c>
      <c r="AC42" s="30">
        <f t="shared" si="9"/>
        <v>-250000</v>
      </c>
      <c r="AD42" s="6">
        <f t="shared" ref="AD42:AE64" si="95">AD$5</f>
        <v>38.5</v>
      </c>
      <c r="AE42" s="6">
        <f t="shared" si="95"/>
        <v>6378245</v>
      </c>
      <c r="AF42" s="6">
        <f t="shared" si="12"/>
        <v>6356863.0187730473</v>
      </c>
      <c r="AG42" s="6">
        <f t="shared" si="13"/>
        <v>3.352329869259135E-3</v>
      </c>
      <c r="AH42" s="8">
        <f t="shared" si="14"/>
        <v>6.6934216229658618E-3</v>
      </c>
      <c r="AI42" s="56">
        <f t="shared" si="15"/>
        <v>6.7385254146834087E-3</v>
      </c>
      <c r="AJ42" s="57">
        <f t="shared" si="16"/>
        <v>6378245.0883603953</v>
      </c>
      <c r="AK42" s="8">
        <f t="shared" si="17"/>
        <v>2.0361285582720838E-3</v>
      </c>
      <c r="AL42" s="8">
        <f t="shared" si="18"/>
        <v>6367558.4882606138</v>
      </c>
      <c r="AM42" s="8">
        <f t="shared" si="19"/>
        <v>16036.473376007938</v>
      </c>
      <c r="AN42" s="8">
        <f t="shared" si="20"/>
        <v>16.826341825445081</v>
      </c>
      <c r="AO42" s="8">
        <f t="shared" si="21"/>
        <v>2.1689203848674052E-2</v>
      </c>
      <c r="AP42" s="8">
        <f t="shared" si="22"/>
        <v>1.5704606433433228E-7</v>
      </c>
      <c r="AQ42" s="8">
        <f t="shared" si="23"/>
        <v>2.5184636976839014E-3</v>
      </c>
      <c r="AR42" s="8">
        <f t="shared" si="24"/>
        <v>3.70015534400603E-6</v>
      </c>
      <c r="AS42" s="8">
        <f t="shared" si="25"/>
        <v>7.4016654475384287E-9</v>
      </c>
      <c r="AT42" s="8">
        <f t="shared" si="26"/>
        <v>6378245.0884971283</v>
      </c>
      <c r="AU42" s="8">
        <f t="shared" si="27"/>
        <v>8.2088351658514316E-2</v>
      </c>
      <c r="AV42" s="8">
        <f t="shared" si="28"/>
        <v>2.0361313720839145E-3</v>
      </c>
      <c r="AW42" s="8">
        <f t="shared" si="29"/>
        <v>1.0067384974780118</v>
      </c>
      <c r="AX42" s="58">
        <f t="shared" si="30"/>
        <v>2.0345549675285794E-3</v>
      </c>
      <c r="AY42" s="59">
        <f t="shared" si="31"/>
        <v>0</v>
      </c>
      <c r="AZ42" s="60">
        <f t="shared" si="32"/>
        <v>6</v>
      </c>
      <c r="BA42" s="61">
        <f t="shared" si="33"/>
        <v>59.657086176349864</v>
      </c>
      <c r="BB42" s="56">
        <f t="shared" si="34"/>
        <v>0.11657141282676385</v>
      </c>
      <c r="BC42" s="56">
        <f t="shared" si="35"/>
        <v>-3.9185715631620689E-2</v>
      </c>
      <c r="BD42" s="56">
        <f t="shared" si="36"/>
        <v>0.63276604638619627</v>
      </c>
      <c r="BE42" s="56">
        <f t="shared" si="37"/>
        <v>36.254823877108315</v>
      </c>
      <c r="BF42" s="62">
        <f t="shared" si="38"/>
        <v>36</v>
      </c>
      <c r="BG42" s="60">
        <f t="shared" si="39"/>
        <v>15</v>
      </c>
      <c r="BH42" s="63">
        <f t="shared" si="40"/>
        <v>17.365957589933601</v>
      </c>
      <c r="BI42" s="64">
        <f t="shared" si="41"/>
        <v>5143373.1390186641</v>
      </c>
      <c r="BJ42" s="65">
        <f t="shared" si="42"/>
        <v>3771943.1014487948</v>
      </c>
      <c r="BK42" s="66">
        <f t="shared" si="43"/>
        <v>12890.021538123134</v>
      </c>
      <c r="BL42" s="55">
        <f t="shared" si="89"/>
        <v>23.92</v>
      </c>
      <c r="BM42" s="6">
        <f t="shared" si="89"/>
        <v>-141.27000000000001</v>
      </c>
      <c r="BN42" s="6">
        <f t="shared" si="89"/>
        <v>-80.900000000000006</v>
      </c>
      <c r="BO42" s="6">
        <f t="shared" si="89"/>
        <v>0</v>
      </c>
      <c r="BP42" s="6">
        <f t="shared" si="89"/>
        <v>-0.35</v>
      </c>
      <c r="BQ42" s="6">
        <f t="shared" si="89"/>
        <v>-0.82</v>
      </c>
      <c r="BR42" s="6">
        <f t="shared" si="90"/>
        <v>0</v>
      </c>
      <c r="BS42" s="6">
        <f t="shared" si="90"/>
        <v>-1.6968478838833759E-6</v>
      </c>
      <c r="BT42" s="6">
        <f t="shared" si="90"/>
        <v>-3.9754721850981945E-6</v>
      </c>
      <c r="BU42" s="67">
        <f t="shared" si="44"/>
        <v>-0.22</v>
      </c>
      <c r="BV42" s="59">
        <f t="shared" si="45"/>
        <v>5143380.9540973902</v>
      </c>
      <c r="BW42" s="60">
        <f t="shared" si="46"/>
        <v>3771821.4489536658</v>
      </c>
      <c r="BX42" s="68">
        <f t="shared" si="47"/>
        <v>12800.391182411484</v>
      </c>
      <c r="BY42" s="55">
        <f t="shared" si="91"/>
        <v>23.92</v>
      </c>
      <c r="BZ42" s="6">
        <f t="shared" si="91"/>
        <v>-141.27000000000001</v>
      </c>
      <c r="CA42" s="6">
        <f t="shared" si="91"/>
        <v>-80.900000000000006</v>
      </c>
      <c r="CB42" s="6">
        <f t="shared" si="91"/>
        <v>0</v>
      </c>
      <c r="CC42" s="6">
        <f t="shared" si="91"/>
        <v>-0.35</v>
      </c>
      <c r="CD42" s="6">
        <f t="shared" si="91"/>
        <v>-0.82</v>
      </c>
      <c r="CE42" s="6">
        <f t="shared" si="92"/>
        <v>0</v>
      </c>
      <c r="CF42" s="6">
        <f t="shared" si="92"/>
        <v>-1.6968478838833759E-6</v>
      </c>
      <c r="CG42" s="6">
        <f t="shared" si="92"/>
        <v>-3.9754721850981945E-6</v>
      </c>
      <c r="CH42" s="67">
        <f t="shared" si="48"/>
        <v>-0.22</v>
      </c>
      <c r="CI42" s="64">
        <f t="shared" si="49"/>
        <v>5143373.1386954347</v>
      </c>
      <c r="CJ42" s="65">
        <f t="shared" si="50"/>
        <v>3771943.1013819654</v>
      </c>
      <c r="CK42" s="66">
        <f t="shared" si="51"/>
        <v>12890.021535505568</v>
      </c>
      <c r="CL42" s="69">
        <f t="shared" si="52"/>
        <v>6378231.8869665386</v>
      </c>
      <c r="CM42" s="6">
        <f t="shared" ref="CM42:CN64" si="96">CM$5</f>
        <v>6378245</v>
      </c>
      <c r="CN42" s="6">
        <f t="shared" si="96"/>
        <v>3.352329869259135E-3</v>
      </c>
      <c r="CO42" s="9">
        <f t="shared" si="54"/>
        <v>6.6934216229659433E-3</v>
      </c>
      <c r="CP42" s="9">
        <f t="shared" si="55"/>
        <v>6378244.911930861</v>
      </c>
      <c r="CQ42" s="9">
        <f t="shared" si="56"/>
        <v>2.0209368702047577E-3</v>
      </c>
      <c r="CR42" s="9">
        <f t="shared" si="57"/>
        <v>3.3467108576934797E-3</v>
      </c>
      <c r="CS42" s="9">
        <f t="shared" ca="1" si="58"/>
        <v>1.3618097007062995E-5</v>
      </c>
      <c r="CT42" s="9">
        <f t="shared" ca="1" si="59"/>
        <v>2.0345549672118207E-3</v>
      </c>
      <c r="CU42" s="46">
        <f t="shared" ca="1" si="94"/>
        <v>1.3618097007062995E-5</v>
      </c>
      <c r="CV42" s="70">
        <f t="shared" ca="1" si="60"/>
        <v>0</v>
      </c>
      <c r="CW42" s="71">
        <f t="shared" ca="1" si="61"/>
        <v>2.0345549672118207E-3</v>
      </c>
      <c r="CX42" s="59">
        <f t="shared" ca="1" si="62"/>
        <v>0</v>
      </c>
      <c r="CY42" s="60">
        <f t="shared" ca="1" si="63"/>
        <v>6</v>
      </c>
      <c r="CZ42" s="61">
        <f t="shared" ca="1" si="64"/>
        <v>59.6571</v>
      </c>
      <c r="DA42" s="6">
        <f t="shared" ca="1" si="65"/>
        <v>0.11657141280861491</v>
      </c>
      <c r="DB42" s="6">
        <f t="shared" si="66"/>
        <v>0.63276604640771628</v>
      </c>
      <c r="DC42" s="6">
        <f t="shared" si="67"/>
        <v>0</v>
      </c>
      <c r="DD42" s="6">
        <f t="shared" si="68"/>
        <v>0.63276604640771628</v>
      </c>
      <c r="DE42" s="60">
        <f t="shared" si="69"/>
        <v>36</v>
      </c>
      <c r="DF42" s="60">
        <f t="shared" si="70"/>
        <v>15</v>
      </c>
      <c r="DG42" s="61">
        <f t="shared" si="71"/>
        <v>17.366</v>
      </c>
      <c r="DH42" s="6">
        <f t="shared" si="72"/>
        <v>36.254823878341327</v>
      </c>
      <c r="DI42" s="66">
        <f t="shared" ca="1" si="73"/>
        <v>-3.001755103468895E-4</v>
      </c>
      <c r="DJ42" s="55">
        <f t="shared" si="74"/>
        <v>39</v>
      </c>
      <c r="DK42" s="6">
        <f t="shared" si="75"/>
        <v>-4.7912361870072265E-2</v>
      </c>
      <c r="DL42" s="6">
        <f t="shared" si="76"/>
        <v>6356863.0187730473</v>
      </c>
      <c r="DM42" s="6">
        <f t="shared" si="77"/>
        <v>6.7385254146834087E-3</v>
      </c>
      <c r="DN42" s="72">
        <f t="shared" ca="1" si="78"/>
        <v>6.7384975211760307E-3</v>
      </c>
      <c r="DO42" s="73">
        <f t="shared" ca="1" si="79"/>
        <v>6378245.0883603953</v>
      </c>
      <c r="DP42" s="6">
        <f t="shared" si="80"/>
        <v>1.0050517725429551</v>
      </c>
      <c r="DQ42" s="6">
        <f t="shared" si="81"/>
        <v>-2.5311877419908228E-3</v>
      </c>
      <c r="DR42" s="6">
        <f t="shared" si="82"/>
        <v>2.6558601241364054E-6</v>
      </c>
      <c r="DS42" s="6">
        <f t="shared" si="83"/>
        <v>-3.4165783147131439E-9</v>
      </c>
      <c r="DT42" s="6">
        <f t="shared" si="93"/>
        <v>7</v>
      </c>
      <c r="DU42" s="6">
        <f t="shared" si="93"/>
        <v>0</v>
      </c>
      <c r="DV42" s="6">
        <f t="shared" si="93"/>
        <v>500000</v>
      </c>
      <c r="DW42" s="6">
        <f t="shared" si="93"/>
        <v>1</v>
      </c>
      <c r="DX42" s="74">
        <f t="shared" ca="1" si="84"/>
        <v>12890.030428976437</v>
      </c>
      <c r="DY42" s="58">
        <f t="shared" ca="1" si="85"/>
        <v>-305713.93034284032</v>
      </c>
      <c r="DZ42" s="64">
        <f t="shared" ca="1" si="86"/>
        <v>12904.939659140397</v>
      </c>
      <c r="EA42" s="66">
        <f t="shared" ca="1" si="87"/>
        <v>7194286.06965716</v>
      </c>
    </row>
    <row r="43" spans="1:131" ht="15.75" x14ac:dyDescent="0.25">
      <c r="J43" s="80"/>
      <c r="T43" s="53">
        <v>36</v>
      </c>
      <c r="U43" s="26"/>
      <c r="V43" s="26"/>
      <c r="W43" s="54"/>
      <c r="X43" s="55">
        <f t="shared" si="88"/>
        <v>1</v>
      </c>
      <c r="Y43" s="6">
        <f t="shared" si="88"/>
        <v>-12900</v>
      </c>
      <c r="Z43" s="6">
        <f t="shared" si="88"/>
        <v>250000</v>
      </c>
      <c r="AA43" s="6">
        <f t="shared" si="10"/>
        <v>0</v>
      </c>
      <c r="AB43" s="30">
        <f t="shared" si="8"/>
        <v>12900</v>
      </c>
      <c r="AC43" s="30">
        <f t="shared" si="9"/>
        <v>-250000</v>
      </c>
      <c r="AD43" s="6">
        <f t="shared" si="95"/>
        <v>38.5</v>
      </c>
      <c r="AE43" s="6">
        <f t="shared" si="95"/>
        <v>6378245</v>
      </c>
      <c r="AF43" s="6">
        <f t="shared" si="12"/>
        <v>6356863.0187730473</v>
      </c>
      <c r="AG43" s="6">
        <f t="shared" si="13"/>
        <v>3.352329869259135E-3</v>
      </c>
      <c r="AH43" s="8">
        <f t="shared" si="14"/>
        <v>6.6934216229658618E-3</v>
      </c>
      <c r="AI43" s="56">
        <f t="shared" si="15"/>
        <v>6.7385254146834087E-3</v>
      </c>
      <c r="AJ43" s="57">
        <f t="shared" si="16"/>
        <v>6378245.0883603953</v>
      </c>
      <c r="AK43" s="8">
        <f t="shared" si="17"/>
        <v>2.0361285582720838E-3</v>
      </c>
      <c r="AL43" s="8">
        <f t="shared" si="18"/>
        <v>6367558.4882606138</v>
      </c>
      <c r="AM43" s="8">
        <f t="shared" si="19"/>
        <v>16036.473376007938</v>
      </c>
      <c r="AN43" s="8">
        <f t="shared" si="20"/>
        <v>16.826341825445081</v>
      </c>
      <c r="AO43" s="8">
        <f t="shared" si="21"/>
        <v>2.1689203848674052E-2</v>
      </c>
      <c r="AP43" s="8">
        <f t="shared" si="22"/>
        <v>1.5704606433433228E-7</v>
      </c>
      <c r="AQ43" s="8">
        <f t="shared" si="23"/>
        <v>2.5184636976839014E-3</v>
      </c>
      <c r="AR43" s="8">
        <f t="shared" si="24"/>
        <v>3.70015534400603E-6</v>
      </c>
      <c r="AS43" s="8">
        <f t="shared" si="25"/>
        <v>7.4016654475384287E-9</v>
      </c>
      <c r="AT43" s="8">
        <f t="shared" si="26"/>
        <v>6378245.0884971283</v>
      </c>
      <c r="AU43" s="8">
        <f t="shared" si="27"/>
        <v>8.2088351658514316E-2</v>
      </c>
      <c r="AV43" s="8">
        <f t="shared" si="28"/>
        <v>2.0361313720839145E-3</v>
      </c>
      <c r="AW43" s="8">
        <f t="shared" si="29"/>
        <v>1.0067384974780118</v>
      </c>
      <c r="AX43" s="58">
        <f t="shared" si="30"/>
        <v>2.0345549675285794E-3</v>
      </c>
      <c r="AY43" s="59">
        <f t="shared" si="31"/>
        <v>0</v>
      </c>
      <c r="AZ43" s="60">
        <f t="shared" si="32"/>
        <v>6</v>
      </c>
      <c r="BA43" s="61">
        <f t="shared" si="33"/>
        <v>59.657086176349864</v>
      </c>
      <c r="BB43" s="56">
        <f t="shared" si="34"/>
        <v>0.11657141282676385</v>
      </c>
      <c r="BC43" s="56">
        <f t="shared" si="35"/>
        <v>-3.9185715631620689E-2</v>
      </c>
      <c r="BD43" s="56">
        <f t="shared" si="36"/>
        <v>0.63276604638619627</v>
      </c>
      <c r="BE43" s="56">
        <f t="shared" si="37"/>
        <v>36.254823877108315</v>
      </c>
      <c r="BF43" s="62">
        <f t="shared" si="38"/>
        <v>36</v>
      </c>
      <c r="BG43" s="60">
        <f t="shared" si="39"/>
        <v>15</v>
      </c>
      <c r="BH43" s="63">
        <f t="shared" si="40"/>
        <v>17.365957589933601</v>
      </c>
      <c r="BI43" s="64">
        <f t="shared" si="41"/>
        <v>5143373.1390186641</v>
      </c>
      <c r="BJ43" s="65">
        <f t="shared" si="42"/>
        <v>3771943.1014487948</v>
      </c>
      <c r="BK43" s="66">
        <f t="shared" si="43"/>
        <v>12890.021538123134</v>
      </c>
      <c r="BL43" s="55">
        <f t="shared" si="89"/>
        <v>23.92</v>
      </c>
      <c r="BM43" s="6">
        <f t="shared" si="89"/>
        <v>-141.27000000000001</v>
      </c>
      <c r="BN43" s="6">
        <f t="shared" si="89"/>
        <v>-80.900000000000006</v>
      </c>
      <c r="BO43" s="6">
        <f t="shared" si="89"/>
        <v>0</v>
      </c>
      <c r="BP43" s="6">
        <f t="shared" si="89"/>
        <v>-0.35</v>
      </c>
      <c r="BQ43" s="6">
        <f t="shared" si="89"/>
        <v>-0.82</v>
      </c>
      <c r="BR43" s="6">
        <f t="shared" si="90"/>
        <v>0</v>
      </c>
      <c r="BS43" s="6">
        <f t="shared" si="90"/>
        <v>-1.6968478838833759E-6</v>
      </c>
      <c r="BT43" s="6">
        <f t="shared" si="90"/>
        <v>-3.9754721850981945E-6</v>
      </c>
      <c r="BU43" s="67">
        <f t="shared" si="44"/>
        <v>-0.22</v>
      </c>
      <c r="BV43" s="59">
        <f t="shared" si="45"/>
        <v>5143380.9540973902</v>
      </c>
      <c r="BW43" s="60">
        <f t="shared" si="46"/>
        <v>3771821.4489536658</v>
      </c>
      <c r="BX43" s="68">
        <f t="shared" si="47"/>
        <v>12800.391182411484</v>
      </c>
      <c r="BY43" s="55">
        <f t="shared" si="91"/>
        <v>23.92</v>
      </c>
      <c r="BZ43" s="6">
        <f t="shared" si="91"/>
        <v>-141.27000000000001</v>
      </c>
      <c r="CA43" s="6">
        <f t="shared" si="91"/>
        <v>-80.900000000000006</v>
      </c>
      <c r="CB43" s="6">
        <f t="shared" si="91"/>
        <v>0</v>
      </c>
      <c r="CC43" s="6">
        <f t="shared" si="91"/>
        <v>-0.35</v>
      </c>
      <c r="CD43" s="6">
        <f t="shared" si="91"/>
        <v>-0.82</v>
      </c>
      <c r="CE43" s="6">
        <f t="shared" si="92"/>
        <v>0</v>
      </c>
      <c r="CF43" s="6">
        <f t="shared" si="92"/>
        <v>-1.6968478838833759E-6</v>
      </c>
      <c r="CG43" s="6">
        <f t="shared" si="92"/>
        <v>-3.9754721850981945E-6</v>
      </c>
      <c r="CH43" s="67">
        <f t="shared" si="48"/>
        <v>-0.22</v>
      </c>
      <c r="CI43" s="64">
        <f t="shared" si="49"/>
        <v>5143373.1386954347</v>
      </c>
      <c r="CJ43" s="65">
        <f t="shared" si="50"/>
        <v>3771943.1013819654</v>
      </c>
      <c r="CK43" s="66">
        <f t="shared" si="51"/>
        <v>12890.021535505568</v>
      </c>
      <c r="CL43" s="69">
        <f t="shared" si="52"/>
        <v>6378231.8869665386</v>
      </c>
      <c r="CM43" s="6">
        <f t="shared" si="96"/>
        <v>6378245</v>
      </c>
      <c r="CN43" s="6">
        <f t="shared" si="96"/>
        <v>3.352329869259135E-3</v>
      </c>
      <c r="CO43" s="9">
        <f t="shared" si="54"/>
        <v>6.6934216229659433E-3</v>
      </c>
      <c r="CP43" s="9">
        <f t="shared" si="55"/>
        <v>6378244.911930861</v>
      </c>
      <c r="CQ43" s="9">
        <f t="shared" si="56"/>
        <v>2.0209368702047577E-3</v>
      </c>
      <c r="CR43" s="9">
        <f t="shared" si="57"/>
        <v>3.3467108576934797E-3</v>
      </c>
      <c r="CS43" s="9">
        <f t="shared" ca="1" si="58"/>
        <v>1.3618097007062995E-5</v>
      </c>
      <c r="CT43" s="9">
        <f t="shared" ca="1" si="59"/>
        <v>2.0345549672118207E-3</v>
      </c>
      <c r="CU43" s="46">
        <f t="shared" ca="1" si="94"/>
        <v>1.3618097007062995E-5</v>
      </c>
      <c r="CV43" s="70">
        <f t="shared" ca="1" si="60"/>
        <v>0</v>
      </c>
      <c r="CW43" s="71">
        <f t="shared" ca="1" si="61"/>
        <v>2.0345549672118207E-3</v>
      </c>
      <c r="CX43" s="59">
        <f t="shared" ca="1" si="62"/>
        <v>0</v>
      </c>
      <c r="CY43" s="60">
        <f t="shared" ca="1" si="63"/>
        <v>6</v>
      </c>
      <c r="CZ43" s="61">
        <f t="shared" ca="1" si="64"/>
        <v>59.6571</v>
      </c>
      <c r="DA43" s="6">
        <f t="shared" ca="1" si="65"/>
        <v>0.11657141280861491</v>
      </c>
      <c r="DB43" s="6">
        <f t="shared" si="66"/>
        <v>0.63276604640771628</v>
      </c>
      <c r="DC43" s="6">
        <f t="shared" si="67"/>
        <v>0</v>
      </c>
      <c r="DD43" s="6">
        <f t="shared" si="68"/>
        <v>0.63276604640771628</v>
      </c>
      <c r="DE43" s="60">
        <f t="shared" si="69"/>
        <v>36</v>
      </c>
      <c r="DF43" s="60">
        <f t="shared" si="70"/>
        <v>15</v>
      </c>
      <c r="DG43" s="61">
        <f t="shared" si="71"/>
        <v>17.366</v>
      </c>
      <c r="DH43" s="6">
        <f t="shared" si="72"/>
        <v>36.254823878341327</v>
      </c>
      <c r="DI43" s="66">
        <f t="shared" ca="1" si="73"/>
        <v>-3.001755103468895E-4</v>
      </c>
      <c r="DJ43" s="55">
        <f t="shared" si="74"/>
        <v>39</v>
      </c>
      <c r="DK43" s="6">
        <f t="shared" si="75"/>
        <v>-4.7912361870072265E-2</v>
      </c>
      <c r="DL43" s="6">
        <f t="shared" si="76"/>
        <v>6356863.0187730473</v>
      </c>
      <c r="DM43" s="6">
        <f t="shared" si="77"/>
        <v>6.7385254146834087E-3</v>
      </c>
      <c r="DN43" s="72">
        <f t="shared" ca="1" si="78"/>
        <v>6.7384975211760307E-3</v>
      </c>
      <c r="DO43" s="73">
        <f t="shared" ca="1" si="79"/>
        <v>6378245.0883603953</v>
      </c>
      <c r="DP43" s="6">
        <f t="shared" si="80"/>
        <v>1.0050517725429551</v>
      </c>
      <c r="DQ43" s="6">
        <f t="shared" si="81"/>
        <v>-2.5311877419908228E-3</v>
      </c>
      <c r="DR43" s="6">
        <f t="shared" si="82"/>
        <v>2.6558601241364054E-6</v>
      </c>
      <c r="DS43" s="6">
        <f t="shared" si="83"/>
        <v>-3.4165783147131439E-9</v>
      </c>
      <c r="DT43" s="6">
        <f t="shared" si="93"/>
        <v>7</v>
      </c>
      <c r="DU43" s="6">
        <f t="shared" si="93"/>
        <v>0</v>
      </c>
      <c r="DV43" s="6">
        <f t="shared" si="93"/>
        <v>500000</v>
      </c>
      <c r="DW43" s="6">
        <f t="shared" si="93"/>
        <v>1</v>
      </c>
      <c r="DX43" s="74">
        <f t="shared" ca="1" si="84"/>
        <v>12890.030428976437</v>
      </c>
      <c r="DY43" s="58">
        <f t="shared" ca="1" si="85"/>
        <v>-305713.93034284032</v>
      </c>
      <c r="DZ43" s="64">
        <f t="shared" ca="1" si="86"/>
        <v>12904.939659140397</v>
      </c>
      <c r="EA43" s="66">
        <f t="shared" ca="1" si="87"/>
        <v>7194286.06965716</v>
      </c>
    </row>
    <row r="44" spans="1:131" ht="15.75" x14ac:dyDescent="0.25">
      <c r="J44" s="79"/>
      <c r="Q44" s="81"/>
      <c r="R44" s="81"/>
      <c r="T44" s="53">
        <v>37</v>
      </c>
      <c r="U44" s="26"/>
      <c r="V44" s="26"/>
      <c r="W44" s="54"/>
      <c r="X44" s="55">
        <f t="shared" si="88"/>
        <v>1</v>
      </c>
      <c r="Y44" s="6">
        <f t="shared" si="88"/>
        <v>-12900</v>
      </c>
      <c r="Z44" s="6">
        <f t="shared" si="88"/>
        <v>250000</v>
      </c>
      <c r="AA44" s="6">
        <f t="shared" si="10"/>
        <v>0</v>
      </c>
      <c r="AB44" s="30">
        <f t="shared" si="8"/>
        <v>12900</v>
      </c>
      <c r="AC44" s="30">
        <f t="shared" si="9"/>
        <v>-250000</v>
      </c>
      <c r="AD44" s="6">
        <f t="shared" si="95"/>
        <v>38.5</v>
      </c>
      <c r="AE44" s="6">
        <f t="shared" si="95"/>
        <v>6378245</v>
      </c>
      <c r="AF44" s="6">
        <f t="shared" si="12"/>
        <v>6356863.0187730473</v>
      </c>
      <c r="AG44" s="6">
        <f t="shared" si="13"/>
        <v>3.352329869259135E-3</v>
      </c>
      <c r="AH44" s="8">
        <f t="shared" si="14"/>
        <v>6.6934216229658618E-3</v>
      </c>
      <c r="AI44" s="56">
        <f t="shared" si="15"/>
        <v>6.7385254146834087E-3</v>
      </c>
      <c r="AJ44" s="57">
        <f t="shared" si="16"/>
        <v>6378245.0883603953</v>
      </c>
      <c r="AK44" s="8">
        <f t="shared" si="17"/>
        <v>2.0361285582720838E-3</v>
      </c>
      <c r="AL44" s="8">
        <f t="shared" si="18"/>
        <v>6367558.4882606138</v>
      </c>
      <c r="AM44" s="8">
        <f t="shared" si="19"/>
        <v>16036.473376007938</v>
      </c>
      <c r="AN44" s="8">
        <f t="shared" si="20"/>
        <v>16.826341825445081</v>
      </c>
      <c r="AO44" s="8">
        <f t="shared" si="21"/>
        <v>2.1689203848674052E-2</v>
      </c>
      <c r="AP44" s="8">
        <f t="shared" si="22"/>
        <v>1.5704606433433228E-7</v>
      </c>
      <c r="AQ44" s="8">
        <f t="shared" si="23"/>
        <v>2.5184636976839014E-3</v>
      </c>
      <c r="AR44" s="8">
        <f t="shared" si="24"/>
        <v>3.70015534400603E-6</v>
      </c>
      <c r="AS44" s="8">
        <f t="shared" si="25"/>
        <v>7.4016654475384287E-9</v>
      </c>
      <c r="AT44" s="8">
        <f t="shared" si="26"/>
        <v>6378245.0884971283</v>
      </c>
      <c r="AU44" s="8">
        <f t="shared" si="27"/>
        <v>8.2088351658514316E-2</v>
      </c>
      <c r="AV44" s="8">
        <f t="shared" si="28"/>
        <v>2.0361313720839145E-3</v>
      </c>
      <c r="AW44" s="8">
        <f t="shared" si="29"/>
        <v>1.0067384974780118</v>
      </c>
      <c r="AX44" s="58">
        <f t="shared" si="30"/>
        <v>2.0345549675285794E-3</v>
      </c>
      <c r="AY44" s="59">
        <f t="shared" si="31"/>
        <v>0</v>
      </c>
      <c r="AZ44" s="60">
        <f t="shared" si="32"/>
        <v>6</v>
      </c>
      <c r="BA44" s="61">
        <f t="shared" si="33"/>
        <v>59.657086176349864</v>
      </c>
      <c r="BB44" s="56">
        <f t="shared" si="34"/>
        <v>0.11657141282676385</v>
      </c>
      <c r="BC44" s="56">
        <f t="shared" si="35"/>
        <v>-3.9185715631620689E-2</v>
      </c>
      <c r="BD44" s="56">
        <f t="shared" si="36"/>
        <v>0.63276604638619627</v>
      </c>
      <c r="BE44" s="56">
        <f t="shared" si="37"/>
        <v>36.254823877108315</v>
      </c>
      <c r="BF44" s="62">
        <f t="shared" si="38"/>
        <v>36</v>
      </c>
      <c r="BG44" s="60">
        <f t="shared" si="39"/>
        <v>15</v>
      </c>
      <c r="BH44" s="63">
        <f t="shared" si="40"/>
        <v>17.365957589933601</v>
      </c>
      <c r="BI44" s="64">
        <f t="shared" si="41"/>
        <v>5143373.1390186641</v>
      </c>
      <c r="BJ44" s="65">
        <f t="shared" si="42"/>
        <v>3771943.1014487948</v>
      </c>
      <c r="BK44" s="66">
        <f t="shared" si="43"/>
        <v>12890.021538123134</v>
      </c>
      <c r="BL44" s="55">
        <f t="shared" si="89"/>
        <v>23.92</v>
      </c>
      <c r="BM44" s="6">
        <f t="shared" si="89"/>
        <v>-141.27000000000001</v>
      </c>
      <c r="BN44" s="6">
        <f t="shared" si="89"/>
        <v>-80.900000000000006</v>
      </c>
      <c r="BO44" s="6">
        <f t="shared" si="89"/>
        <v>0</v>
      </c>
      <c r="BP44" s="6">
        <f t="shared" si="89"/>
        <v>-0.35</v>
      </c>
      <c r="BQ44" s="6">
        <f t="shared" si="89"/>
        <v>-0.82</v>
      </c>
      <c r="BR44" s="6">
        <f t="shared" si="90"/>
        <v>0</v>
      </c>
      <c r="BS44" s="6">
        <f t="shared" si="90"/>
        <v>-1.6968478838833759E-6</v>
      </c>
      <c r="BT44" s="6">
        <f t="shared" si="90"/>
        <v>-3.9754721850981945E-6</v>
      </c>
      <c r="BU44" s="67">
        <f t="shared" si="44"/>
        <v>-0.22</v>
      </c>
      <c r="BV44" s="59">
        <f t="shared" si="45"/>
        <v>5143380.9540973902</v>
      </c>
      <c r="BW44" s="60">
        <f t="shared" si="46"/>
        <v>3771821.4489536658</v>
      </c>
      <c r="BX44" s="68">
        <f t="shared" si="47"/>
        <v>12800.391182411484</v>
      </c>
      <c r="BY44" s="55">
        <f t="shared" si="91"/>
        <v>23.92</v>
      </c>
      <c r="BZ44" s="6">
        <f t="shared" si="91"/>
        <v>-141.27000000000001</v>
      </c>
      <c r="CA44" s="6">
        <f t="shared" si="91"/>
        <v>-80.900000000000006</v>
      </c>
      <c r="CB44" s="6">
        <f t="shared" si="91"/>
        <v>0</v>
      </c>
      <c r="CC44" s="6">
        <f t="shared" si="91"/>
        <v>-0.35</v>
      </c>
      <c r="CD44" s="6">
        <f t="shared" si="91"/>
        <v>-0.82</v>
      </c>
      <c r="CE44" s="6">
        <f t="shared" si="92"/>
        <v>0</v>
      </c>
      <c r="CF44" s="6">
        <f t="shared" si="92"/>
        <v>-1.6968478838833759E-6</v>
      </c>
      <c r="CG44" s="6">
        <f t="shared" si="92"/>
        <v>-3.9754721850981945E-6</v>
      </c>
      <c r="CH44" s="67">
        <f t="shared" si="48"/>
        <v>-0.22</v>
      </c>
      <c r="CI44" s="64">
        <f t="shared" si="49"/>
        <v>5143373.1386954347</v>
      </c>
      <c r="CJ44" s="65">
        <f t="shared" si="50"/>
        <v>3771943.1013819654</v>
      </c>
      <c r="CK44" s="66">
        <f t="shared" si="51"/>
        <v>12890.021535505568</v>
      </c>
      <c r="CL44" s="69">
        <f t="shared" si="52"/>
        <v>6378231.8869665386</v>
      </c>
      <c r="CM44" s="6">
        <f t="shared" si="96"/>
        <v>6378245</v>
      </c>
      <c r="CN44" s="6">
        <f t="shared" si="96"/>
        <v>3.352329869259135E-3</v>
      </c>
      <c r="CO44" s="9">
        <f t="shared" si="54"/>
        <v>6.6934216229659433E-3</v>
      </c>
      <c r="CP44" s="9">
        <f t="shared" si="55"/>
        <v>6378244.911930861</v>
      </c>
      <c r="CQ44" s="9">
        <f t="shared" si="56"/>
        <v>2.0209368702047577E-3</v>
      </c>
      <c r="CR44" s="9">
        <f t="shared" si="57"/>
        <v>3.3467108576934797E-3</v>
      </c>
      <c r="CS44" s="9">
        <f t="shared" ca="1" si="58"/>
        <v>1.3618097007062995E-5</v>
      </c>
      <c r="CT44" s="9">
        <f t="shared" ca="1" si="59"/>
        <v>2.0345549672118207E-3</v>
      </c>
      <c r="CU44" s="46">
        <f t="shared" ca="1" si="94"/>
        <v>1.3618097007062995E-5</v>
      </c>
      <c r="CV44" s="70">
        <f t="shared" ca="1" si="60"/>
        <v>0</v>
      </c>
      <c r="CW44" s="71">
        <f t="shared" ca="1" si="61"/>
        <v>2.0345549672118207E-3</v>
      </c>
      <c r="CX44" s="59">
        <f t="shared" ca="1" si="62"/>
        <v>0</v>
      </c>
      <c r="CY44" s="60">
        <f t="shared" ca="1" si="63"/>
        <v>6</v>
      </c>
      <c r="CZ44" s="61">
        <f t="shared" ca="1" si="64"/>
        <v>59.6571</v>
      </c>
      <c r="DA44" s="6">
        <f t="shared" ca="1" si="65"/>
        <v>0.11657141280861491</v>
      </c>
      <c r="DB44" s="6">
        <f t="shared" si="66"/>
        <v>0.63276604640771628</v>
      </c>
      <c r="DC44" s="6">
        <f t="shared" si="67"/>
        <v>0</v>
      </c>
      <c r="DD44" s="6">
        <f t="shared" si="68"/>
        <v>0.63276604640771628</v>
      </c>
      <c r="DE44" s="60">
        <f t="shared" si="69"/>
        <v>36</v>
      </c>
      <c r="DF44" s="60">
        <f t="shared" si="70"/>
        <v>15</v>
      </c>
      <c r="DG44" s="61">
        <f t="shared" si="71"/>
        <v>17.366</v>
      </c>
      <c r="DH44" s="6">
        <f t="shared" si="72"/>
        <v>36.254823878341327</v>
      </c>
      <c r="DI44" s="66">
        <f t="shared" ca="1" si="73"/>
        <v>-3.001755103468895E-4</v>
      </c>
      <c r="DJ44" s="55">
        <f t="shared" si="74"/>
        <v>39</v>
      </c>
      <c r="DK44" s="6">
        <f t="shared" si="75"/>
        <v>-4.7912361870072265E-2</v>
      </c>
      <c r="DL44" s="6">
        <f t="shared" si="76"/>
        <v>6356863.0187730473</v>
      </c>
      <c r="DM44" s="6">
        <f t="shared" si="77"/>
        <v>6.7385254146834087E-3</v>
      </c>
      <c r="DN44" s="72">
        <f t="shared" ca="1" si="78"/>
        <v>6.7384975211760307E-3</v>
      </c>
      <c r="DO44" s="73">
        <f t="shared" ca="1" si="79"/>
        <v>6378245.0883603953</v>
      </c>
      <c r="DP44" s="6">
        <f t="shared" si="80"/>
        <v>1.0050517725429551</v>
      </c>
      <c r="DQ44" s="6">
        <f t="shared" si="81"/>
        <v>-2.5311877419908228E-3</v>
      </c>
      <c r="DR44" s="6">
        <f t="shared" si="82"/>
        <v>2.6558601241364054E-6</v>
      </c>
      <c r="DS44" s="6">
        <f t="shared" si="83"/>
        <v>-3.4165783147131439E-9</v>
      </c>
      <c r="DT44" s="6">
        <f t="shared" si="93"/>
        <v>7</v>
      </c>
      <c r="DU44" s="6">
        <f t="shared" si="93"/>
        <v>0</v>
      </c>
      <c r="DV44" s="6">
        <f t="shared" si="93"/>
        <v>500000</v>
      </c>
      <c r="DW44" s="6">
        <f t="shared" si="93"/>
        <v>1</v>
      </c>
      <c r="DX44" s="74">
        <f t="shared" ca="1" si="84"/>
        <v>12890.030428976437</v>
      </c>
      <c r="DY44" s="58">
        <f t="shared" ca="1" si="85"/>
        <v>-305713.93034284032</v>
      </c>
      <c r="DZ44" s="64">
        <f t="shared" ca="1" si="86"/>
        <v>12904.939659140397</v>
      </c>
      <c r="EA44" s="66">
        <f t="shared" ca="1" si="87"/>
        <v>7194286.06965716</v>
      </c>
    </row>
    <row r="45" spans="1:131" ht="15.75" x14ac:dyDescent="0.25">
      <c r="J45" s="82"/>
      <c r="Q45" s="81"/>
      <c r="R45" s="81"/>
      <c r="T45" s="53">
        <v>38</v>
      </c>
      <c r="U45" s="26"/>
      <c r="V45" s="26"/>
      <c r="W45" s="54"/>
      <c r="X45" s="55">
        <f t="shared" si="88"/>
        <v>1</v>
      </c>
      <c r="Y45" s="6">
        <f t="shared" si="88"/>
        <v>-12900</v>
      </c>
      <c r="Z45" s="6">
        <f t="shared" si="88"/>
        <v>250000</v>
      </c>
      <c r="AA45" s="6">
        <f t="shared" si="10"/>
        <v>0</v>
      </c>
      <c r="AB45" s="30">
        <f t="shared" si="8"/>
        <v>12900</v>
      </c>
      <c r="AC45" s="30">
        <f t="shared" si="9"/>
        <v>-250000</v>
      </c>
      <c r="AD45" s="6">
        <f t="shared" si="95"/>
        <v>38.5</v>
      </c>
      <c r="AE45" s="6">
        <f t="shared" si="95"/>
        <v>6378245</v>
      </c>
      <c r="AF45" s="6">
        <f t="shared" si="12"/>
        <v>6356863.0187730473</v>
      </c>
      <c r="AG45" s="6">
        <f t="shared" si="13"/>
        <v>3.352329869259135E-3</v>
      </c>
      <c r="AH45" s="8">
        <f t="shared" si="14"/>
        <v>6.6934216229658618E-3</v>
      </c>
      <c r="AI45" s="56">
        <f t="shared" si="15"/>
        <v>6.7385254146834087E-3</v>
      </c>
      <c r="AJ45" s="57">
        <f t="shared" si="16"/>
        <v>6378245.0883603953</v>
      </c>
      <c r="AK45" s="8">
        <f t="shared" si="17"/>
        <v>2.0361285582720838E-3</v>
      </c>
      <c r="AL45" s="8">
        <f t="shared" si="18"/>
        <v>6367558.4882606138</v>
      </c>
      <c r="AM45" s="8">
        <f t="shared" si="19"/>
        <v>16036.473376007938</v>
      </c>
      <c r="AN45" s="8">
        <f t="shared" si="20"/>
        <v>16.826341825445081</v>
      </c>
      <c r="AO45" s="8">
        <f t="shared" si="21"/>
        <v>2.1689203848674052E-2</v>
      </c>
      <c r="AP45" s="8">
        <f t="shared" si="22"/>
        <v>1.5704606433433228E-7</v>
      </c>
      <c r="AQ45" s="8">
        <f t="shared" si="23"/>
        <v>2.5184636976839014E-3</v>
      </c>
      <c r="AR45" s="8">
        <f t="shared" si="24"/>
        <v>3.70015534400603E-6</v>
      </c>
      <c r="AS45" s="8">
        <f t="shared" si="25"/>
        <v>7.4016654475384287E-9</v>
      </c>
      <c r="AT45" s="8">
        <f t="shared" si="26"/>
        <v>6378245.0884971283</v>
      </c>
      <c r="AU45" s="8">
        <f t="shared" si="27"/>
        <v>8.2088351658514316E-2</v>
      </c>
      <c r="AV45" s="8">
        <f t="shared" si="28"/>
        <v>2.0361313720839145E-3</v>
      </c>
      <c r="AW45" s="8">
        <f t="shared" si="29"/>
        <v>1.0067384974780118</v>
      </c>
      <c r="AX45" s="58">
        <f t="shared" si="30"/>
        <v>2.0345549675285794E-3</v>
      </c>
      <c r="AY45" s="59">
        <f t="shared" si="31"/>
        <v>0</v>
      </c>
      <c r="AZ45" s="60">
        <f t="shared" si="32"/>
        <v>6</v>
      </c>
      <c r="BA45" s="61">
        <f t="shared" si="33"/>
        <v>59.657086176349864</v>
      </c>
      <c r="BB45" s="56">
        <f t="shared" si="34"/>
        <v>0.11657141282676385</v>
      </c>
      <c r="BC45" s="56">
        <f t="shared" si="35"/>
        <v>-3.9185715631620689E-2</v>
      </c>
      <c r="BD45" s="56">
        <f t="shared" si="36"/>
        <v>0.63276604638619627</v>
      </c>
      <c r="BE45" s="56">
        <f t="shared" si="37"/>
        <v>36.254823877108315</v>
      </c>
      <c r="BF45" s="62">
        <f t="shared" si="38"/>
        <v>36</v>
      </c>
      <c r="BG45" s="60">
        <f t="shared" si="39"/>
        <v>15</v>
      </c>
      <c r="BH45" s="63">
        <f t="shared" si="40"/>
        <v>17.365957589933601</v>
      </c>
      <c r="BI45" s="64">
        <f t="shared" si="41"/>
        <v>5143373.1390186641</v>
      </c>
      <c r="BJ45" s="65">
        <f t="shared" si="42"/>
        <v>3771943.1014487948</v>
      </c>
      <c r="BK45" s="66">
        <f t="shared" si="43"/>
        <v>12890.021538123134</v>
      </c>
      <c r="BL45" s="55">
        <f t="shared" si="89"/>
        <v>23.92</v>
      </c>
      <c r="BM45" s="6">
        <f t="shared" si="89"/>
        <v>-141.27000000000001</v>
      </c>
      <c r="BN45" s="6">
        <f t="shared" si="89"/>
        <v>-80.900000000000006</v>
      </c>
      <c r="BO45" s="6">
        <f t="shared" si="89"/>
        <v>0</v>
      </c>
      <c r="BP45" s="6">
        <f t="shared" si="89"/>
        <v>-0.35</v>
      </c>
      <c r="BQ45" s="6">
        <f t="shared" si="89"/>
        <v>-0.82</v>
      </c>
      <c r="BR45" s="6">
        <f t="shared" si="90"/>
        <v>0</v>
      </c>
      <c r="BS45" s="6">
        <f t="shared" si="90"/>
        <v>-1.6968478838833759E-6</v>
      </c>
      <c r="BT45" s="6">
        <f t="shared" si="90"/>
        <v>-3.9754721850981945E-6</v>
      </c>
      <c r="BU45" s="67">
        <f t="shared" si="44"/>
        <v>-0.22</v>
      </c>
      <c r="BV45" s="59">
        <f t="shared" si="45"/>
        <v>5143380.9540973902</v>
      </c>
      <c r="BW45" s="60">
        <f t="shared" si="46"/>
        <v>3771821.4489536658</v>
      </c>
      <c r="BX45" s="68">
        <f t="shared" si="47"/>
        <v>12800.391182411484</v>
      </c>
      <c r="BY45" s="55">
        <f t="shared" si="91"/>
        <v>23.92</v>
      </c>
      <c r="BZ45" s="6">
        <f t="shared" si="91"/>
        <v>-141.27000000000001</v>
      </c>
      <c r="CA45" s="6">
        <f t="shared" si="91"/>
        <v>-80.900000000000006</v>
      </c>
      <c r="CB45" s="6">
        <f t="shared" si="91"/>
        <v>0</v>
      </c>
      <c r="CC45" s="6">
        <f t="shared" si="91"/>
        <v>-0.35</v>
      </c>
      <c r="CD45" s="6">
        <f t="shared" si="91"/>
        <v>-0.82</v>
      </c>
      <c r="CE45" s="6">
        <f t="shared" si="92"/>
        <v>0</v>
      </c>
      <c r="CF45" s="6">
        <f t="shared" si="92"/>
        <v>-1.6968478838833759E-6</v>
      </c>
      <c r="CG45" s="6">
        <f t="shared" si="92"/>
        <v>-3.9754721850981945E-6</v>
      </c>
      <c r="CH45" s="67">
        <f t="shared" si="48"/>
        <v>-0.22</v>
      </c>
      <c r="CI45" s="64">
        <f t="shared" si="49"/>
        <v>5143373.1386954347</v>
      </c>
      <c r="CJ45" s="65">
        <f t="shared" si="50"/>
        <v>3771943.1013819654</v>
      </c>
      <c r="CK45" s="66">
        <f t="shared" si="51"/>
        <v>12890.021535505568</v>
      </c>
      <c r="CL45" s="69">
        <f t="shared" si="52"/>
        <v>6378231.8869665386</v>
      </c>
      <c r="CM45" s="6">
        <f t="shared" si="96"/>
        <v>6378245</v>
      </c>
      <c r="CN45" s="6">
        <f t="shared" si="96"/>
        <v>3.352329869259135E-3</v>
      </c>
      <c r="CO45" s="9">
        <f t="shared" si="54"/>
        <v>6.6934216229659433E-3</v>
      </c>
      <c r="CP45" s="9">
        <f t="shared" si="55"/>
        <v>6378244.911930861</v>
      </c>
      <c r="CQ45" s="9">
        <f t="shared" si="56"/>
        <v>2.0209368702047577E-3</v>
      </c>
      <c r="CR45" s="9">
        <f t="shared" si="57"/>
        <v>3.3467108576934797E-3</v>
      </c>
      <c r="CS45" s="9">
        <f t="shared" ca="1" si="58"/>
        <v>1.3618097007062995E-5</v>
      </c>
      <c r="CT45" s="9">
        <f t="shared" ca="1" si="59"/>
        <v>2.0345549672118207E-3</v>
      </c>
      <c r="CU45" s="46">
        <f t="shared" ca="1" si="94"/>
        <v>1.3618097007062995E-5</v>
      </c>
      <c r="CV45" s="70">
        <f t="shared" ca="1" si="60"/>
        <v>0</v>
      </c>
      <c r="CW45" s="71">
        <f t="shared" ca="1" si="61"/>
        <v>2.0345549672118207E-3</v>
      </c>
      <c r="CX45" s="59">
        <f t="shared" ca="1" si="62"/>
        <v>0</v>
      </c>
      <c r="CY45" s="60">
        <f t="shared" ca="1" si="63"/>
        <v>6</v>
      </c>
      <c r="CZ45" s="61">
        <f t="shared" ca="1" si="64"/>
        <v>59.6571</v>
      </c>
      <c r="DA45" s="6">
        <f t="shared" ca="1" si="65"/>
        <v>0.11657141280861491</v>
      </c>
      <c r="DB45" s="6">
        <f t="shared" si="66"/>
        <v>0.63276604640771628</v>
      </c>
      <c r="DC45" s="6">
        <f t="shared" si="67"/>
        <v>0</v>
      </c>
      <c r="DD45" s="6">
        <f t="shared" si="68"/>
        <v>0.63276604640771628</v>
      </c>
      <c r="DE45" s="60">
        <f t="shared" si="69"/>
        <v>36</v>
      </c>
      <c r="DF45" s="60">
        <f t="shared" si="70"/>
        <v>15</v>
      </c>
      <c r="DG45" s="61">
        <f t="shared" si="71"/>
        <v>17.366</v>
      </c>
      <c r="DH45" s="6">
        <f t="shared" si="72"/>
        <v>36.254823878341327</v>
      </c>
      <c r="DI45" s="66">
        <f t="shared" ca="1" si="73"/>
        <v>-3.001755103468895E-4</v>
      </c>
      <c r="DJ45" s="55">
        <f t="shared" si="74"/>
        <v>39</v>
      </c>
      <c r="DK45" s="6">
        <f t="shared" si="75"/>
        <v>-4.7912361870072265E-2</v>
      </c>
      <c r="DL45" s="6">
        <f t="shared" si="76"/>
        <v>6356863.0187730473</v>
      </c>
      <c r="DM45" s="6">
        <f t="shared" si="77"/>
        <v>6.7385254146834087E-3</v>
      </c>
      <c r="DN45" s="72">
        <f t="shared" ca="1" si="78"/>
        <v>6.7384975211760307E-3</v>
      </c>
      <c r="DO45" s="73">
        <f t="shared" ca="1" si="79"/>
        <v>6378245.0883603953</v>
      </c>
      <c r="DP45" s="6">
        <f t="shared" si="80"/>
        <v>1.0050517725429551</v>
      </c>
      <c r="DQ45" s="6">
        <f t="shared" si="81"/>
        <v>-2.5311877419908228E-3</v>
      </c>
      <c r="DR45" s="6">
        <f t="shared" si="82"/>
        <v>2.6558601241364054E-6</v>
      </c>
      <c r="DS45" s="6">
        <f t="shared" si="83"/>
        <v>-3.4165783147131439E-9</v>
      </c>
      <c r="DT45" s="6">
        <f t="shared" si="93"/>
        <v>7</v>
      </c>
      <c r="DU45" s="6">
        <f t="shared" si="93"/>
        <v>0</v>
      </c>
      <c r="DV45" s="6">
        <f t="shared" si="93"/>
        <v>500000</v>
      </c>
      <c r="DW45" s="6">
        <f t="shared" si="93"/>
        <v>1</v>
      </c>
      <c r="DX45" s="74">
        <f t="shared" ca="1" si="84"/>
        <v>12890.030428976437</v>
      </c>
      <c r="DY45" s="58">
        <f t="shared" ca="1" si="85"/>
        <v>-305713.93034284032</v>
      </c>
      <c r="DZ45" s="64">
        <f t="shared" ca="1" si="86"/>
        <v>12904.939659140397</v>
      </c>
      <c r="EA45" s="66">
        <f t="shared" ca="1" si="87"/>
        <v>7194286.06965716</v>
      </c>
    </row>
    <row r="46" spans="1:131" ht="15.75" x14ac:dyDescent="0.25">
      <c r="J46" s="82"/>
      <c r="Q46" s="81"/>
      <c r="R46" s="81"/>
      <c r="T46" s="53"/>
      <c r="U46" s="83"/>
      <c r="V46" s="83"/>
      <c r="W46" s="54"/>
      <c r="X46" s="55">
        <f t="shared" si="88"/>
        <v>1</v>
      </c>
      <c r="Y46" s="6">
        <f t="shared" si="88"/>
        <v>-12900</v>
      </c>
      <c r="Z46" s="6">
        <f t="shared" si="88"/>
        <v>250000</v>
      </c>
      <c r="AA46" s="6">
        <f t="shared" si="10"/>
        <v>0</v>
      </c>
      <c r="AB46" s="30">
        <f t="shared" si="8"/>
        <v>12900</v>
      </c>
      <c r="AC46" s="30">
        <f t="shared" si="9"/>
        <v>-250000</v>
      </c>
      <c r="AD46" s="6">
        <f t="shared" si="95"/>
        <v>38.5</v>
      </c>
      <c r="AE46" s="6">
        <f t="shared" si="95"/>
        <v>6378245</v>
      </c>
      <c r="AF46" s="6">
        <f t="shared" si="12"/>
        <v>6356863.0187730473</v>
      </c>
      <c r="AG46" s="6">
        <f t="shared" si="13"/>
        <v>3.352329869259135E-3</v>
      </c>
      <c r="AH46" s="8">
        <f t="shared" si="14"/>
        <v>6.6934216229658618E-3</v>
      </c>
      <c r="AI46" s="56">
        <f t="shared" si="15"/>
        <v>6.7385254146834087E-3</v>
      </c>
      <c r="AJ46" s="57">
        <f t="shared" si="16"/>
        <v>6378245.0883603953</v>
      </c>
      <c r="AK46" s="8">
        <f t="shared" si="17"/>
        <v>2.0361285582720838E-3</v>
      </c>
      <c r="AL46" s="8">
        <f t="shared" si="18"/>
        <v>6367558.4882606138</v>
      </c>
      <c r="AM46" s="8">
        <f t="shared" si="19"/>
        <v>16036.473376007938</v>
      </c>
      <c r="AN46" s="8">
        <f t="shared" si="20"/>
        <v>16.826341825445081</v>
      </c>
      <c r="AO46" s="8">
        <f t="shared" si="21"/>
        <v>2.1689203848674052E-2</v>
      </c>
      <c r="AP46" s="8">
        <f t="shared" si="22"/>
        <v>1.5704606433433228E-7</v>
      </c>
      <c r="AQ46" s="8">
        <f t="shared" si="23"/>
        <v>2.5184636976839014E-3</v>
      </c>
      <c r="AR46" s="8">
        <f t="shared" si="24"/>
        <v>3.70015534400603E-6</v>
      </c>
      <c r="AS46" s="8">
        <f t="shared" si="25"/>
        <v>7.4016654475384287E-9</v>
      </c>
      <c r="AT46" s="8">
        <f t="shared" si="26"/>
        <v>6378245.0884971283</v>
      </c>
      <c r="AU46" s="8">
        <f t="shared" si="27"/>
        <v>8.2088351658514316E-2</v>
      </c>
      <c r="AV46" s="8">
        <f t="shared" si="28"/>
        <v>2.0361313720839145E-3</v>
      </c>
      <c r="AW46" s="8">
        <f t="shared" si="29"/>
        <v>1.0067384974780118</v>
      </c>
      <c r="AX46" s="58">
        <f t="shared" si="30"/>
        <v>2.0345549675285794E-3</v>
      </c>
      <c r="AY46" s="59">
        <f t="shared" si="31"/>
        <v>0</v>
      </c>
      <c r="AZ46" s="60">
        <f t="shared" si="32"/>
        <v>6</v>
      </c>
      <c r="BA46" s="61">
        <f t="shared" si="33"/>
        <v>59.657086176349864</v>
      </c>
      <c r="BB46" s="56">
        <f t="shared" si="34"/>
        <v>0.11657141282676385</v>
      </c>
      <c r="BC46" s="56">
        <f t="shared" si="35"/>
        <v>-3.9185715631620689E-2</v>
      </c>
      <c r="BD46" s="56">
        <f t="shared" si="36"/>
        <v>0.63276604638619627</v>
      </c>
      <c r="BE46" s="56">
        <f t="shared" si="37"/>
        <v>36.254823877108315</v>
      </c>
      <c r="BF46" s="62">
        <f t="shared" si="38"/>
        <v>36</v>
      </c>
      <c r="BG46" s="60">
        <f t="shared" si="39"/>
        <v>15</v>
      </c>
      <c r="BH46" s="63">
        <f t="shared" si="40"/>
        <v>17.365957589933601</v>
      </c>
      <c r="BI46" s="64">
        <f t="shared" si="41"/>
        <v>5143373.1390186641</v>
      </c>
      <c r="BJ46" s="65">
        <f t="shared" si="42"/>
        <v>3771943.1014487948</v>
      </c>
      <c r="BK46" s="66">
        <f t="shared" si="43"/>
        <v>12890.021538123134</v>
      </c>
      <c r="BL46" s="55">
        <f t="shared" si="89"/>
        <v>23.92</v>
      </c>
      <c r="BM46" s="6">
        <f t="shared" si="89"/>
        <v>-141.27000000000001</v>
      </c>
      <c r="BN46" s="6">
        <f t="shared" si="89"/>
        <v>-80.900000000000006</v>
      </c>
      <c r="BO46" s="6">
        <f t="shared" si="89"/>
        <v>0</v>
      </c>
      <c r="BP46" s="6">
        <f t="shared" si="89"/>
        <v>-0.35</v>
      </c>
      <c r="BQ46" s="6">
        <f t="shared" si="89"/>
        <v>-0.82</v>
      </c>
      <c r="BR46" s="6">
        <f t="shared" si="90"/>
        <v>0</v>
      </c>
      <c r="BS46" s="6">
        <f t="shared" si="90"/>
        <v>-1.6968478838833759E-6</v>
      </c>
      <c r="BT46" s="6">
        <f t="shared" si="90"/>
        <v>-3.9754721850981945E-6</v>
      </c>
      <c r="BU46" s="67">
        <f t="shared" si="44"/>
        <v>-0.22</v>
      </c>
      <c r="BV46" s="59">
        <f t="shared" si="45"/>
        <v>5143380.9540973902</v>
      </c>
      <c r="BW46" s="60">
        <f t="shared" si="46"/>
        <v>3771821.4489536658</v>
      </c>
      <c r="BX46" s="68">
        <f t="shared" si="47"/>
        <v>12800.391182411484</v>
      </c>
      <c r="BY46" s="55">
        <f t="shared" si="91"/>
        <v>23.92</v>
      </c>
      <c r="BZ46" s="6">
        <f t="shared" si="91"/>
        <v>-141.27000000000001</v>
      </c>
      <c r="CA46" s="6">
        <f t="shared" si="91"/>
        <v>-80.900000000000006</v>
      </c>
      <c r="CB46" s="6">
        <f t="shared" si="91"/>
        <v>0</v>
      </c>
      <c r="CC46" s="6">
        <f t="shared" si="91"/>
        <v>-0.35</v>
      </c>
      <c r="CD46" s="6">
        <f t="shared" si="91"/>
        <v>-0.82</v>
      </c>
      <c r="CE46" s="6">
        <f t="shared" si="92"/>
        <v>0</v>
      </c>
      <c r="CF46" s="6">
        <f t="shared" si="92"/>
        <v>-1.6968478838833759E-6</v>
      </c>
      <c r="CG46" s="6">
        <f t="shared" si="92"/>
        <v>-3.9754721850981945E-6</v>
      </c>
      <c r="CH46" s="67">
        <f t="shared" si="48"/>
        <v>-0.22</v>
      </c>
      <c r="CI46" s="64">
        <f t="shared" si="49"/>
        <v>5143373.1386954347</v>
      </c>
      <c r="CJ46" s="65">
        <f t="shared" si="50"/>
        <v>3771943.1013819654</v>
      </c>
      <c r="CK46" s="66">
        <f t="shared" si="51"/>
        <v>12890.021535505568</v>
      </c>
      <c r="CL46" s="69">
        <f t="shared" si="52"/>
        <v>6378231.8869665386</v>
      </c>
      <c r="CM46" s="6">
        <f t="shared" si="96"/>
        <v>6378245</v>
      </c>
      <c r="CN46" s="6">
        <f t="shared" si="96"/>
        <v>3.352329869259135E-3</v>
      </c>
      <c r="CO46" s="9">
        <f t="shared" si="54"/>
        <v>6.6934216229659433E-3</v>
      </c>
      <c r="CP46" s="9">
        <f t="shared" si="55"/>
        <v>6378244.911930861</v>
      </c>
      <c r="CQ46" s="9">
        <f t="shared" si="56"/>
        <v>2.0209368702047577E-3</v>
      </c>
      <c r="CR46" s="9">
        <f t="shared" si="57"/>
        <v>3.3467108576934797E-3</v>
      </c>
      <c r="CS46" s="9">
        <f t="shared" ca="1" si="58"/>
        <v>1.3618097007062995E-5</v>
      </c>
      <c r="CT46" s="9">
        <f t="shared" ca="1" si="59"/>
        <v>2.0345549672118207E-3</v>
      </c>
      <c r="CU46" s="46">
        <f t="shared" ca="1" si="94"/>
        <v>1.3618097007062995E-5</v>
      </c>
      <c r="CV46" s="70">
        <f t="shared" ca="1" si="60"/>
        <v>0</v>
      </c>
      <c r="CW46" s="71">
        <f t="shared" ca="1" si="61"/>
        <v>2.0345549672118207E-3</v>
      </c>
      <c r="CX46" s="59">
        <f t="shared" ca="1" si="62"/>
        <v>0</v>
      </c>
      <c r="CY46" s="60">
        <f t="shared" ca="1" si="63"/>
        <v>6</v>
      </c>
      <c r="CZ46" s="61">
        <f t="shared" ca="1" si="64"/>
        <v>59.6571</v>
      </c>
      <c r="DA46" s="6">
        <f t="shared" ca="1" si="65"/>
        <v>0.11657141280861491</v>
      </c>
      <c r="DB46" s="6">
        <f t="shared" si="66"/>
        <v>0.63276604640771628</v>
      </c>
      <c r="DC46" s="6">
        <f t="shared" si="67"/>
        <v>0</v>
      </c>
      <c r="DD46" s="6">
        <f t="shared" si="68"/>
        <v>0.63276604640771628</v>
      </c>
      <c r="DE46" s="60">
        <f t="shared" si="69"/>
        <v>36</v>
      </c>
      <c r="DF46" s="60">
        <f t="shared" si="70"/>
        <v>15</v>
      </c>
      <c r="DG46" s="61">
        <f t="shared" si="71"/>
        <v>17.366</v>
      </c>
      <c r="DH46" s="6">
        <f t="shared" si="72"/>
        <v>36.254823878341327</v>
      </c>
      <c r="DI46" s="66">
        <f t="shared" ca="1" si="73"/>
        <v>-3.001755103468895E-4</v>
      </c>
      <c r="DJ46" s="55">
        <f t="shared" si="74"/>
        <v>39</v>
      </c>
      <c r="DK46" s="6">
        <f t="shared" si="75"/>
        <v>-4.7912361870072265E-2</v>
      </c>
      <c r="DL46" s="6">
        <f t="shared" si="76"/>
        <v>6356863.0187730473</v>
      </c>
      <c r="DM46" s="6">
        <f t="shared" si="77"/>
        <v>6.7385254146834087E-3</v>
      </c>
      <c r="DN46" s="72">
        <f t="shared" ca="1" si="78"/>
        <v>6.7384975211760307E-3</v>
      </c>
      <c r="DO46" s="73">
        <f t="shared" ca="1" si="79"/>
        <v>6378245.0883603953</v>
      </c>
      <c r="DP46" s="6">
        <f t="shared" si="80"/>
        <v>1.0050517725429551</v>
      </c>
      <c r="DQ46" s="6">
        <f t="shared" si="81"/>
        <v>-2.5311877419908228E-3</v>
      </c>
      <c r="DR46" s="6">
        <f t="shared" si="82"/>
        <v>2.6558601241364054E-6</v>
      </c>
      <c r="DS46" s="6">
        <f t="shared" si="83"/>
        <v>-3.4165783147131439E-9</v>
      </c>
      <c r="DT46" s="6">
        <f t="shared" si="93"/>
        <v>7</v>
      </c>
      <c r="DU46" s="6">
        <f t="shared" si="93"/>
        <v>0</v>
      </c>
      <c r="DV46" s="6">
        <f t="shared" si="93"/>
        <v>500000</v>
      </c>
      <c r="DW46" s="6">
        <f t="shared" si="93"/>
        <v>1</v>
      </c>
      <c r="DX46" s="74">
        <f t="shared" ca="1" si="84"/>
        <v>12890.030428976437</v>
      </c>
      <c r="DY46" s="58">
        <f t="shared" ca="1" si="85"/>
        <v>-305713.93034284032</v>
      </c>
      <c r="DZ46" s="64">
        <f t="shared" ca="1" si="86"/>
        <v>12904.939659140397</v>
      </c>
      <c r="EA46" s="66">
        <f t="shared" ca="1" si="87"/>
        <v>7194286.06965716</v>
      </c>
    </row>
    <row r="47" spans="1:131" ht="15.75" x14ac:dyDescent="0.25">
      <c r="J47" s="82"/>
      <c r="Q47" s="81"/>
      <c r="R47" s="81"/>
      <c r="T47" s="53"/>
      <c r="U47" s="83"/>
      <c r="V47" s="83"/>
      <c r="W47" s="54"/>
      <c r="X47" s="55">
        <f t="shared" si="88"/>
        <v>1</v>
      </c>
      <c r="Y47" s="6">
        <f t="shared" si="88"/>
        <v>-12900</v>
      </c>
      <c r="Z47" s="6">
        <f t="shared" si="88"/>
        <v>250000</v>
      </c>
      <c r="AA47" s="6">
        <f t="shared" si="10"/>
        <v>0</v>
      </c>
      <c r="AB47" s="30">
        <f t="shared" si="8"/>
        <v>12900</v>
      </c>
      <c r="AC47" s="30">
        <f t="shared" si="9"/>
        <v>-250000</v>
      </c>
      <c r="AD47" s="6">
        <f t="shared" si="95"/>
        <v>38.5</v>
      </c>
      <c r="AE47" s="6">
        <f t="shared" si="95"/>
        <v>6378245</v>
      </c>
      <c r="AF47" s="6">
        <f t="shared" si="12"/>
        <v>6356863.0187730473</v>
      </c>
      <c r="AG47" s="6">
        <f t="shared" si="13"/>
        <v>3.352329869259135E-3</v>
      </c>
      <c r="AH47" s="8">
        <f t="shared" si="14"/>
        <v>6.6934216229658618E-3</v>
      </c>
      <c r="AI47" s="56">
        <f t="shared" si="15"/>
        <v>6.7385254146834087E-3</v>
      </c>
      <c r="AJ47" s="57">
        <f t="shared" si="16"/>
        <v>6378245.0883603953</v>
      </c>
      <c r="AK47" s="8">
        <f t="shared" si="17"/>
        <v>2.0361285582720838E-3</v>
      </c>
      <c r="AL47" s="8">
        <f t="shared" si="18"/>
        <v>6367558.4882606138</v>
      </c>
      <c r="AM47" s="8">
        <f t="shared" si="19"/>
        <v>16036.473376007938</v>
      </c>
      <c r="AN47" s="8">
        <f t="shared" si="20"/>
        <v>16.826341825445081</v>
      </c>
      <c r="AO47" s="8">
        <f t="shared" si="21"/>
        <v>2.1689203848674052E-2</v>
      </c>
      <c r="AP47" s="8">
        <f t="shared" si="22"/>
        <v>1.5704606433433228E-7</v>
      </c>
      <c r="AQ47" s="8">
        <f t="shared" si="23"/>
        <v>2.5184636976839014E-3</v>
      </c>
      <c r="AR47" s="8">
        <f t="shared" si="24"/>
        <v>3.70015534400603E-6</v>
      </c>
      <c r="AS47" s="8">
        <f t="shared" si="25"/>
        <v>7.4016654475384287E-9</v>
      </c>
      <c r="AT47" s="8">
        <f t="shared" si="26"/>
        <v>6378245.0884971283</v>
      </c>
      <c r="AU47" s="8">
        <f t="shared" si="27"/>
        <v>8.2088351658514316E-2</v>
      </c>
      <c r="AV47" s="8">
        <f t="shared" si="28"/>
        <v>2.0361313720839145E-3</v>
      </c>
      <c r="AW47" s="8">
        <f t="shared" si="29"/>
        <v>1.0067384974780118</v>
      </c>
      <c r="AX47" s="58">
        <f t="shared" si="30"/>
        <v>2.0345549675285794E-3</v>
      </c>
      <c r="AY47" s="59">
        <f t="shared" si="31"/>
        <v>0</v>
      </c>
      <c r="AZ47" s="60">
        <f t="shared" si="32"/>
        <v>6</v>
      </c>
      <c r="BA47" s="61">
        <f t="shared" si="33"/>
        <v>59.657086176349864</v>
      </c>
      <c r="BB47" s="56">
        <f t="shared" si="34"/>
        <v>0.11657141282676385</v>
      </c>
      <c r="BC47" s="56">
        <f t="shared" si="35"/>
        <v>-3.9185715631620689E-2</v>
      </c>
      <c r="BD47" s="56">
        <f t="shared" si="36"/>
        <v>0.63276604638619627</v>
      </c>
      <c r="BE47" s="56">
        <f t="shared" si="37"/>
        <v>36.254823877108315</v>
      </c>
      <c r="BF47" s="62">
        <f t="shared" si="38"/>
        <v>36</v>
      </c>
      <c r="BG47" s="60">
        <f t="shared" si="39"/>
        <v>15</v>
      </c>
      <c r="BH47" s="63">
        <f t="shared" si="40"/>
        <v>17.365957589933601</v>
      </c>
      <c r="BI47" s="64">
        <f t="shared" si="41"/>
        <v>5143373.1390186641</v>
      </c>
      <c r="BJ47" s="65">
        <f t="shared" si="42"/>
        <v>3771943.1014487948</v>
      </c>
      <c r="BK47" s="66">
        <f t="shared" si="43"/>
        <v>12890.021538123134</v>
      </c>
      <c r="BL47" s="55">
        <f t="shared" si="89"/>
        <v>23.92</v>
      </c>
      <c r="BM47" s="6">
        <f t="shared" si="89"/>
        <v>-141.27000000000001</v>
      </c>
      <c r="BN47" s="6">
        <f t="shared" si="89"/>
        <v>-80.900000000000006</v>
      </c>
      <c r="BO47" s="6">
        <f t="shared" si="89"/>
        <v>0</v>
      </c>
      <c r="BP47" s="6">
        <f t="shared" si="89"/>
        <v>-0.35</v>
      </c>
      <c r="BQ47" s="6">
        <f t="shared" si="89"/>
        <v>-0.82</v>
      </c>
      <c r="BR47" s="6">
        <f t="shared" si="90"/>
        <v>0</v>
      </c>
      <c r="BS47" s="6">
        <f t="shared" si="90"/>
        <v>-1.6968478838833759E-6</v>
      </c>
      <c r="BT47" s="6">
        <f t="shared" si="90"/>
        <v>-3.9754721850981945E-6</v>
      </c>
      <c r="BU47" s="67">
        <f t="shared" si="44"/>
        <v>-0.22</v>
      </c>
      <c r="BV47" s="59">
        <f t="shared" si="45"/>
        <v>5143380.9540973902</v>
      </c>
      <c r="BW47" s="60">
        <f t="shared" si="46"/>
        <v>3771821.4489536658</v>
      </c>
      <c r="BX47" s="68">
        <f t="shared" si="47"/>
        <v>12800.391182411484</v>
      </c>
      <c r="BY47" s="55">
        <f t="shared" si="91"/>
        <v>23.92</v>
      </c>
      <c r="BZ47" s="6">
        <f t="shared" si="91"/>
        <v>-141.27000000000001</v>
      </c>
      <c r="CA47" s="6">
        <f t="shared" si="91"/>
        <v>-80.900000000000006</v>
      </c>
      <c r="CB47" s="6">
        <f t="shared" si="91"/>
        <v>0</v>
      </c>
      <c r="CC47" s="6">
        <f t="shared" si="91"/>
        <v>-0.35</v>
      </c>
      <c r="CD47" s="6">
        <f t="shared" si="91"/>
        <v>-0.82</v>
      </c>
      <c r="CE47" s="6">
        <f t="shared" si="92"/>
        <v>0</v>
      </c>
      <c r="CF47" s="6">
        <f t="shared" si="92"/>
        <v>-1.6968478838833759E-6</v>
      </c>
      <c r="CG47" s="6">
        <f t="shared" si="92"/>
        <v>-3.9754721850981945E-6</v>
      </c>
      <c r="CH47" s="67">
        <f t="shared" si="48"/>
        <v>-0.22</v>
      </c>
      <c r="CI47" s="64">
        <f t="shared" si="49"/>
        <v>5143373.1386954347</v>
      </c>
      <c r="CJ47" s="65">
        <f t="shared" si="50"/>
        <v>3771943.1013819654</v>
      </c>
      <c r="CK47" s="66">
        <f t="shared" si="51"/>
        <v>12890.021535505568</v>
      </c>
      <c r="CL47" s="69">
        <f t="shared" si="52"/>
        <v>6378231.8869665386</v>
      </c>
      <c r="CM47" s="6">
        <f t="shared" si="96"/>
        <v>6378245</v>
      </c>
      <c r="CN47" s="6">
        <f t="shared" si="96"/>
        <v>3.352329869259135E-3</v>
      </c>
      <c r="CO47" s="9">
        <f t="shared" si="54"/>
        <v>6.6934216229659433E-3</v>
      </c>
      <c r="CP47" s="9">
        <f t="shared" si="55"/>
        <v>6378244.911930861</v>
      </c>
      <c r="CQ47" s="9">
        <f t="shared" si="56"/>
        <v>2.0209368702047577E-3</v>
      </c>
      <c r="CR47" s="9">
        <f t="shared" si="57"/>
        <v>3.3467108576934797E-3</v>
      </c>
      <c r="CS47" s="9">
        <f t="shared" ca="1" si="58"/>
        <v>1.3618097007062995E-5</v>
      </c>
      <c r="CT47" s="9">
        <f t="shared" ca="1" si="59"/>
        <v>2.0345549672118207E-3</v>
      </c>
      <c r="CU47" s="46">
        <f t="shared" ca="1" si="94"/>
        <v>1.3618097007062995E-5</v>
      </c>
      <c r="CV47" s="70">
        <f t="shared" ca="1" si="60"/>
        <v>0</v>
      </c>
      <c r="CW47" s="71">
        <f t="shared" ca="1" si="61"/>
        <v>2.0345549672118207E-3</v>
      </c>
      <c r="CX47" s="59">
        <f t="shared" ca="1" si="62"/>
        <v>0</v>
      </c>
      <c r="CY47" s="60">
        <f t="shared" ca="1" si="63"/>
        <v>6</v>
      </c>
      <c r="CZ47" s="61">
        <f t="shared" ca="1" si="64"/>
        <v>59.6571</v>
      </c>
      <c r="DA47" s="6">
        <f t="shared" ca="1" si="65"/>
        <v>0.11657141280861491</v>
      </c>
      <c r="DB47" s="6">
        <f t="shared" si="66"/>
        <v>0.63276604640771628</v>
      </c>
      <c r="DC47" s="6">
        <f t="shared" si="67"/>
        <v>0</v>
      </c>
      <c r="DD47" s="6">
        <f t="shared" si="68"/>
        <v>0.63276604640771628</v>
      </c>
      <c r="DE47" s="60">
        <f t="shared" si="69"/>
        <v>36</v>
      </c>
      <c r="DF47" s="60">
        <f t="shared" si="70"/>
        <v>15</v>
      </c>
      <c r="DG47" s="61">
        <f t="shared" si="71"/>
        <v>17.366</v>
      </c>
      <c r="DH47" s="6">
        <f t="shared" si="72"/>
        <v>36.254823878341327</v>
      </c>
      <c r="DI47" s="66">
        <f t="shared" ca="1" si="73"/>
        <v>-3.001755103468895E-4</v>
      </c>
      <c r="DJ47" s="55">
        <f t="shared" si="74"/>
        <v>39</v>
      </c>
      <c r="DK47" s="6">
        <f t="shared" si="75"/>
        <v>-4.7912361870072265E-2</v>
      </c>
      <c r="DL47" s="6">
        <f t="shared" si="76"/>
        <v>6356863.0187730473</v>
      </c>
      <c r="DM47" s="6">
        <f t="shared" si="77"/>
        <v>6.7385254146834087E-3</v>
      </c>
      <c r="DN47" s="72">
        <f t="shared" ca="1" si="78"/>
        <v>6.7384975211760307E-3</v>
      </c>
      <c r="DO47" s="73">
        <f t="shared" ca="1" si="79"/>
        <v>6378245.0883603953</v>
      </c>
      <c r="DP47" s="6">
        <f t="shared" si="80"/>
        <v>1.0050517725429551</v>
      </c>
      <c r="DQ47" s="6">
        <f t="shared" si="81"/>
        <v>-2.5311877419908228E-3</v>
      </c>
      <c r="DR47" s="6">
        <f t="shared" si="82"/>
        <v>2.6558601241364054E-6</v>
      </c>
      <c r="DS47" s="6">
        <f t="shared" si="83"/>
        <v>-3.4165783147131439E-9</v>
      </c>
      <c r="DT47" s="6">
        <f t="shared" si="93"/>
        <v>7</v>
      </c>
      <c r="DU47" s="6">
        <f t="shared" si="93"/>
        <v>0</v>
      </c>
      <c r="DV47" s="6">
        <f t="shared" si="93"/>
        <v>500000</v>
      </c>
      <c r="DW47" s="6">
        <f t="shared" si="93"/>
        <v>1</v>
      </c>
      <c r="DX47" s="74">
        <f t="shared" ca="1" si="84"/>
        <v>12890.030428976437</v>
      </c>
      <c r="DY47" s="58">
        <f t="shared" ca="1" si="85"/>
        <v>-305713.93034284032</v>
      </c>
      <c r="DZ47" s="64">
        <f t="shared" ca="1" si="86"/>
        <v>12904.939659140397</v>
      </c>
      <c r="EA47" s="66">
        <f t="shared" ca="1" si="87"/>
        <v>7194286.06965716</v>
      </c>
    </row>
    <row r="48" spans="1:131" ht="15.75" x14ac:dyDescent="0.25">
      <c r="J48" s="82"/>
      <c r="Q48" s="81"/>
      <c r="R48" s="81"/>
      <c r="T48" s="53"/>
      <c r="U48" s="83"/>
      <c r="V48" s="83"/>
      <c r="W48" s="54"/>
      <c r="X48" s="55">
        <f t="shared" si="88"/>
        <v>1</v>
      </c>
      <c r="Y48" s="6">
        <f t="shared" si="88"/>
        <v>-12900</v>
      </c>
      <c r="Z48" s="6">
        <f t="shared" si="88"/>
        <v>250000</v>
      </c>
      <c r="AA48" s="6">
        <f t="shared" si="10"/>
        <v>0</v>
      </c>
      <c r="AB48" s="30">
        <f t="shared" si="8"/>
        <v>12900</v>
      </c>
      <c r="AC48" s="30">
        <f t="shared" si="9"/>
        <v>-250000</v>
      </c>
      <c r="AD48" s="6">
        <f t="shared" si="95"/>
        <v>38.5</v>
      </c>
      <c r="AE48" s="6">
        <f t="shared" si="95"/>
        <v>6378245</v>
      </c>
      <c r="AF48" s="6">
        <f t="shared" si="12"/>
        <v>6356863.0187730473</v>
      </c>
      <c r="AG48" s="6">
        <f t="shared" si="13"/>
        <v>3.352329869259135E-3</v>
      </c>
      <c r="AH48" s="8">
        <f t="shared" si="14"/>
        <v>6.6934216229658618E-3</v>
      </c>
      <c r="AI48" s="56">
        <f t="shared" si="15"/>
        <v>6.7385254146834087E-3</v>
      </c>
      <c r="AJ48" s="57">
        <f t="shared" si="16"/>
        <v>6378245.0883603953</v>
      </c>
      <c r="AK48" s="8">
        <f t="shared" si="17"/>
        <v>2.0361285582720838E-3</v>
      </c>
      <c r="AL48" s="8">
        <f t="shared" si="18"/>
        <v>6367558.4882606138</v>
      </c>
      <c r="AM48" s="8">
        <f t="shared" si="19"/>
        <v>16036.473376007938</v>
      </c>
      <c r="AN48" s="8">
        <f t="shared" si="20"/>
        <v>16.826341825445081</v>
      </c>
      <c r="AO48" s="8">
        <f t="shared" si="21"/>
        <v>2.1689203848674052E-2</v>
      </c>
      <c r="AP48" s="8">
        <f t="shared" si="22"/>
        <v>1.5704606433433228E-7</v>
      </c>
      <c r="AQ48" s="8">
        <f t="shared" si="23"/>
        <v>2.5184636976839014E-3</v>
      </c>
      <c r="AR48" s="8">
        <f t="shared" si="24"/>
        <v>3.70015534400603E-6</v>
      </c>
      <c r="AS48" s="8">
        <f t="shared" si="25"/>
        <v>7.4016654475384287E-9</v>
      </c>
      <c r="AT48" s="8">
        <f t="shared" si="26"/>
        <v>6378245.0884971283</v>
      </c>
      <c r="AU48" s="8">
        <f t="shared" si="27"/>
        <v>8.2088351658514316E-2</v>
      </c>
      <c r="AV48" s="8">
        <f t="shared" si="28"/>
        <v>2.0361313720839145E-3</v>
      </c>
      <c r="AW48" s="8">
        <f t="shared" si="29"/>
        <v>1.0067384974780118</v>
      </c>
      <c r="AX48" s="58">
        <f t="shared" si="30"/>
        <v>2.0345549675285794E-3</v>
      </c>
      <c r="AY48" s="59">
        <f t="shared" si="31"/>
        <v>0</v>
      </c>
      <c r="AZ48" s="60">
        <f t="shared" si="32"/>
        <v>6</v>
      </c>
      <c r="BA48" s="61">
        <f t="shared" si="33"/>
        <v>59.657086176349864</v>
      </c>
      <c r="BB48" s="56">
        <f t="shared" si="34"/>
        <v>0.11657141282676385</v>
      </c>
      <c r="BC48" s="56">
        <f t="shared" si="35"/>
        <v>-3.9185715631620689E-2</v>
      </c>
      <c r="BD48" s="56">
        <f t="shared" si="36"/>
        <v>0.63276604638619627</v>
      </c>
      <c r="BE48" s="56">
        <f t="shared" si="37"/>
        <v>36.254823877108315</v>
      </c>
      <c r="BF48" s="62">
        <f t="shared" si="38"/>
        <v>36</v>
      </c>
      <c r="BG48" s="60">
        <f t="shared" si="39"/>
        <v>15</v>
      </c>
      <c r="BH48" s="63">
        <f t="shared" si="40"/>
        <v>17.365957589933601</v>
      </c>
      <c r="BI48" s="64">
        <f t="shared" si="41"/>
        <v>5143373.1390186641</v>
      </c>
      <c r="BJ48" s="65">
        <f t="shared" si="42"/>
        <v>3771943.1014487948</v>
      </c>
      <c r="BK48" s="66">
        <f t="shared" si="43"/>
        <v>12890.021538123134</v>
      </c>
      <c r="BL48" s="55">
        <f t="shared" si="89"/>
        <v>23.92</v>
      </c>
      <c r="BM48" s="6">
        <f t="shared" si="89"/>
        <v>-141.27000000000001</v>
      </c>
      <c r="BN48" s="6">
        <f t="shared" si="89"/>
        <v>-80.900000000000006</v>
      </c>
      <c r="BO48" s="6">
        <f t="shared" si="89"/>
        <v>0</v>
      </c>
      <c r="BP48" s="6">
        <f t="shared" si="89"/>
        <v>-0.35</v>
      </c>
      <c r="BQ48" s="6">
        <f t="shared" si="89"/>
        <v>-0.82</v>
      </c>
      <c r="BR48" s="6">
        <f t="shared" si="90"/>
        <v>0</v>
      </c>
      <c r="BS48" s="6">
        <f t="shared" si="90"/>
        <v>-1.6968478838833759E-6</v>
      </c>
      <c r="BT48" s="6">
        <f t="shared" si="90"/>
        <v>-3.9754721850981945E-6</v>
      </c>
      <c r="BU48" s="67">
        <f t="shared" si="44"/>
        <v>-0.22</v>
      </c>
      <c r="BV48" s="59">
        <f t="shared" si="45"/>
        <v>5143380.9540973902</v>
      </c>
      <c r="BW48" s="60">
        <f t="shared" si="46"/>
        <v>3771821.4489536658</v>
      </c>
      <c r="BX48" s="68">
        <f t="shared" si="47"/>
        <v>12800.391182411484</v>
      </c>
      <c r="BY48" s="55">
        <f t="shared" si="91"/>
        <v>23.92</v>
      </c>
      <c r="BZ48" s="6">
        <f t="shared" si="91"/>
        <v>-141.27000000000001</v>
      </c>
      <c r="CA48" s="6">
        <f t="shared" si="91"/>
        <v>-80.900000000000006</v>
      </c>
      <c r="CB48" s="6">
        <f t="shared" si="91"/>
        <v>0</v>
      </c>
      <c r="CC48" s="6">
        <f t="shared" si="91"/>
        <v>-0.35</v>
      </c>
      <c r="CD48" s="6">
        <f t="shared" si="91"/>
        <v>-0.82</v>
      </c>
      <c r="CE48" s="6">
        <f t="shared" si="92"/>
        <v>0</v>
      </c>
      <c r="CF48" s="6">
        <f t="shared" si="92"/>
        <v>-1.6968478838833759E-6</v>
      </c>
      <c r="CG48" s="6">
        <f t="shared" si="92"/>
        <v>-3.9754721850981945E-6</v>
      </c>
      <c r="CH48" s="67">
        <f t="shared" si="48"/>
        <v>-0.22</v>
      </c>
      <c r="CI48" s="64">
        <f t="shared" si="49"/>
        <v>5143373.1386954347</v>
      </c>
      <c r="CJ48" s="65">
        <f t="shared" si="50"/>
        <v>3771943.1013819654</v>
      </c>
      <c r="CK48" s="66">
        <f t="shared" si="51"/>
        <v>12890.021535505568</v>
      </c>
      <c r="CL48" s="69">
        <f t="shared" si="52"/>
        <v>6378231.8869665386</v>
      </c>
      <c r="CM48" s="6">
        <f t="shared" si="96"/>
        <v>6378245</v>
      </c>
      <c r="CN48" s="6">
        <f t="shared" si="96"/>
        <v>3.352329869259135E-3</v>
      </c>
      <c r="CO48" s="9">
        <f t="shared" si="54"/>
        <v>6.6934216229659433E-3</v>
      </c>
      <c r="CP48" s="9">
        <f t="shared" si="55"/>
        <v>6378244.911930861</v>
      </c>
      <c r="CQ48" s="9">
        <f t="shared" si="56"/>
        <v>2.0209368702047577E-3</v>
      </c>
      <c r="CR48" s="9">
        <f t="shared" si="57"/>
        <v>3.3467108576934797E-3</v>
      </c>
      <c r="CS48" s="9">
        <f t="shared" ca="1" si="58"/>
        <v>1.3618097007062995E-5</v>
      </c>
      <c r="CT48" s="9">
        <f t="shared" ca="1" si="59"/>
        <v>2.0345549672118207E-3</v>
      </c>
      <c r="CU48" s="46">
        <f t="shared" ca="1" si="94"/>
        <v>1.3618097007062995E-5</v>
      </c>
      <c r="CV48" s="70">
        <f t="shared" ca="1" si="60"/>
        <v>0</v>
      </c>
      <c r="CW48" s="71">
        <f t="shared" ca="1" si="61"/>
        <v>2.0345549672118207E-3</v>
      </c>
      <c r="CX48" s="59">
        <f t="shared" ca="1" si="62"/>
        <v>0</v>
      </c>
      <c r="CY48" s="60">
        <f t="shared" ca="1" si="63"/>
        <v>6</v>
      </c>
      <c r="CZ48" s="61">
        <f t="shared" ca="1" si="64"/>
        <v>59.6571</v>
      </c>
      <c r="DA48" s="6">
        <f t="shared" ca="1" si="65"/>
        <v>0.11657141280861491</v>
      </c>
      <c r="DB48" s="6">
        <f t="shared" si="66"/>
        <v>0.63276604640771628</v>
      </c>
      <c r="DC48" s="6">
        <f t="shared" si="67"/>
        <v>0</v>
      </c>
      <c r="DD48" s="6">
        <f t="shared" si="68"/>
        <v>0.63276604640771628</v>
      </c>
      <c r="DE48" s="60">
        <f t="shared" si="69"/>
        <v>36</v>
      </c>
      <c r="DF48" s="60">
        <f t="shared" si="70"/>
        <v>15</v>
      </c>
      <c r="DG48" s="61">
        <f t="shared" si="71"/>
        <v>17.366</v>
      </c>
      <c r="DH48" s="6">
        <f t="shared" si="72"/>
        <v>36.254823878341327</v>
      </c>
      <c r="DI48" s="66">
        <f t="shared" ca="1" si="73"/>
        <v>-3.001755103468895E-4</v>
      </c>
      <c r="DJ48" s="55">
        <f t="shared" si="74"/>
        <v>39</v>
      </c>
      <c r="DK48" s="6">
        <f t="shared" si="75"/>
        <v>-4.7912361870072265E-2</v>
      </c>
      <c r="DL48" s="6">
        <f t="shared" si="76"/>
        <v>6356863.0187730473</v>
      </c>
      <c r="DM48" s="6">
        <f t="shared" si="77"/>
        <v>6.7385254146834087E-3</v>
      </c>
      <c r="DN48" s="72">
        <f t="shared" ca="1" si="78"/>
        <v>6.7384975211760307E-3</v>
      </c>
      <c r="DO48" s="73">
        <f t="shared" ca="1" si="79"/>
        <v>6378245.0883603953</v>
      </c>
      <c r="DP48" s="6">
        <f t="shared" si="80"/>
        <v>1.0050517725429551</v>
      </c>
      <c r="DQ48" s="6">
        <f t="shared" si="81"/>
        <v>-2.5311877419908228E-3</v>
      </c>
      <c r="DR48" s="6">
        <f t="shared" si="82"/>
        <v>2.6558601241364054E-6</v>
      </c>
      <c r="DS48" s="6">
        <f t="shared" si="83"/>
        <v>-3.4165783147131439E-9</v>
      </c>
      <c r="DT48" s="6">
        <f t="shared" si="93"/>
        <v>7</v>
      </c>
      <c r="DU48" s="6">
        <f t="shared" si="93"/>
        <v>0</v>
      </c>
      <c r="DV48" s="6">
        <f t="shared" si="93"/>
        <v>500000</v>
      </c>
      <c r="DW48" s="6">
        <f t="shared" si="93"/>
        <v>1</v>
      </c>
      <c r="DX48" s="74">
        <f t="shared" ca="1" si="84"/>
        <v>12890.030428976437</v>
      </c>
      <c r="DY48" s="58">
        <f t="shared" ca="1" si="85"/>
        <v>-305713.93034284032</v>
      </c>
      <c r="DZ48" s="64">
        <f t="shared" ca="1" si="86"/>
        <v>12904.939659140397</v>
      </c>
      <c r="EA48" s="66">
        <f t="shared" ca="1" si="87"/>
        <v>7194286.06965716</v>
      </c>
    </row>
    <row r="49" spans="10:131" ht="15.75" x14ac:dyDescent="0.25">
      <c r="J49" s="82"/>
      <c r="Q49" s="81"/>
      <c r="R49" s="81"/>
      <c r="T49" s="53"/>
      <c r="U49" s="83"/>
      <c r="V49" s="83"/>
      <c r="W49" s="54"/>
      <c r="X49" s="55">
        <f t="shared" si="88"/>
        <v>1</v>
      </c>
      <c r="Y49" s="6">
        <f t="shared" si="88"/>
        <v>-12900</v>
      </c>
      <c r="Z49" s="6">
        <f t="shared" si="88"/>
        <v>250000</v>
      </c>
      <c r="AA49" s="6">
        <f t="shared" si="10"/>
        <v>0</v>
      </c>
      <c r="AB49" s="30">
        <f t="shared" si="8"/>
        <v>12900</v>
      </c>
      <c r="AC49" s="30">
        <f t="shared" si="9"/>
        <v>-250000</v>
      </c>
      <c r="AD49" s="6">
        <f t="shared" si="95"/>
        <v>38.5</v>
      </c>
      <c r="AE49" s="6">
        <f t="shared" si="95"/>
        <v>6378245</v>
      </c>
      <c r="AF49" s="6">
        <f t="shared" si="12"/>
        <v>6356863.0187730473</v>
      </c>
      <c r="AG49" s="6">
        <f t="shared" si="13"/>
        <v>3.352329869259135E-3</v>
      </c>
      <c r="AH49" s="8">
        <f t="shared" si="14"/>
        <v>6.6934216229658618E-3</v>
      </c>
      <c r="AI49" s="56">
        <f t="shared" si="15"/>
        <v>6.7385254146834087E-3</v>
      </c>
      <c r="AJ49" s="57">
        <f t="shared" si="16"/>
        <v>6378245.0883603953</v>
      </c>
      <c r="AK49" s="8">
        <f t="shared" si="17"/>
        <v>2.0361285582720838E-3</v>
      </c>
      <c r="AL49" s="8">
        <f t="shared" si="18"/>
        <v>6367558.4882606138</v>
      </c>
      <c r="AM49" s="8">
        <f t="shared" si="19"/>
        <v>16036.473376007938</v>
      </c>
      <c r="AN49" s="8">
        <f t="shared" si="20"/>
        <v>16.826341825445081</v>
      </c>
      <c r="AO49" s="8">
        <f t="shared" si="21"/>
        <v>2.1689203848674052E-2</v>
      </c>
      <c r="AP49" s="8">
        <f t="shared" si="22"/>
        <v>1.5704606433433228E-7</v>
      </c>
      <c r="AQ49" s="8">
        <f t="shared" si="23"/>
        <v>2.5184636976839014E-3</v>
      </c>
      <c r="AR49" s="8">
        <f t="shared" si="24"/>
        <v>3.70015534400603E-6</v>
      </c>
      <c r="AS49" s="8">
        <f t="shared" si="25"/>
        <v>7.4016654475384287E-9</v>
      </c>
      <c r="AT49" s="8">
        <f t="shared" si="26"/>
        <v>6378245.0884971283</v>
      </c>
      <c r="AU49" s="8">
        <f t="shared" si="27"/>
        <v>8.2088351658514316E-2</v>
      </c>
      <c r="AV49" s="8">
        <f t="shared" si="28"/>
        <v>2.0361313720839145E-3</v>
      </c>
      <c r="AW49" s="8">
        <f t="shared" si="29"/>
        <v>1.0067384974780118</v>
      </c>
      <c r="AX49" s="58">
        <f t="shared" si="30"/>
        <v>2.0345549675285794E-3</v>
      </c>
      <c r="AY49" s="59">
        <f t="shared" si="31"/>
        <v>0</v>
      </c>
      <c r="AZ49" s="60">
        <f t="shared" si="32"/>
        <v>6</v>
      </c>
      <c r="BA49" s="61">
        <f t="shared" si="33"/>
        <v>59.657086176349864</v>
      </c>
      <c r="BB49" s="56">
        <f t="shared" si="34"/>
        <v>0.11657141282676385</v>
      </c>
      <c r="BC49" s="56">
        <f t="shared" si="35"/>
        <v>-3.9185715631620689E-2</v>
      </c>
      <c r="BD49" s="56">
        <f t="shared" si="36"/>
        <v>0.63276604638619627</v>
      </c>
      <c r="BE49" s="56">
        <f t="shared" si="37"/>
        <v>36.254823877108315</v>
      </c>
      <c r="BF49" s="62">
        <f t="shared" si="38"/>
        <v>36</v>
      </c>
      <c r="BG49" s="60">
        <f t="shared" si="39"/>
        <v>15</v>
      </c>
      <c r="BH49" s="63">
        <f t="shared" si="40"/>
        <v>17.365957589933601</v>
      </c>
      <c r="BI49" s="64">
        <f t="shared" si="41"/>
        <v>5143373.1390186641</v>
      </c>
      <c r="BJ49" s="65">
        <f t="shared" si="42"/>
        <v>3771943.1014487948</v>
      </c>
      <c r="BK49" s="66">
        <f t="shared" si="43"/>
        <v>12890.021538123134</v>
      </c>
      <c r="BL49" s="55">
        <f t="shared" si="89"/>
        <v>23.92</v>
      </c>
      <c r="BM49" s="6">
        <f t="shared" si="89"/>
        <v>-141.27000000000001</v>
      </c>
      <c r="BN49" s="6">
        <f t="shared" si="89"/>
        <v>-80.900000000000006</v>
      </c>
      <c r="BO49" s="6">
        <f t="shared" si="89"/>
        <v>0</v>
      </c>
      <c r="BP49" s="6">
        <f t="shared" si="89"/>
        <v>-0.35</v>
      </c>
      <c r="BQ49" s="6">
        <f t="shared" si="89"/>
        <v>-0.82</v>
      </c>
      <c r="BR49" s="6">
        <f t="shared" si="90"/>
        <v>0</v>
      </c>
      <c r="BS49" s="6">
        <f t="shared" si="90"/>
        <v>-1.6968478838833759E-6</v>
      </c>
      <c r="BT49" s="6">
        <f t="shared" si="90"/>
        <v>-3.9754721850981945E-6</v>
      </c>
      <c r="BU49" s="67">
        <f t="shared" si="44"/>
        <v>-0.22</v>
      </c>
      <c r="BV49" s="59">
        <f t="shared" si="45"/>
        <v>5143380.9540973902</v>
      </c>
      <c r="BW49" s="60">
        <f t="shared" si="46"/>
        <v>3771821.4489536658</v>
      </c>
      <c r="BX49" s="68">
        <f t="shared" si="47"/>
        <v>12800.391182411484</v>
      </c>
      <c r="BY49" s="55">
        <f t="shared" si="91"/>
        <v>23.92</v>
      </c>
      <c r="BZ49" s="6">
        <f t="shared" si="91"/>
        <v>-141.27000000000001</v>
      </c>
      <c r="CA49" s="6">
        <f t="shared" si="91"/>
        <v>-80.900000000000006</v>
      </c>
      <c r="CB49" s="6">
        <f t="shared" si="91"/>
        <v>0</v>
      </c>
      <c r="CC49" s="6">
        <f t="shared" si="91"/>
        <v>-0.35</v>
      </c>
      <c r="CD49" s="6">
        <f t="shared" si="91"/>
        <v>-0.82</v>
      </c>
      <c r="CE49" s="6">
        <f t="shared" si="92"/>
        <v>0</v>
      </c>
      <c r="CF49" s="6">
        <f t="shared" si="92"/>
        <v>-1.6968478838833759E-6</v>
      </c>
      <c r="CG49" s="6">
        <f t="shared" si="92"/>
        <v>-3.9754721850981945E-6</v>
      </c>
      <c r="CH49" s="67">
        <f t="shared" si="48"/>
        <v>-0.22</v>
      </c>
      <c r="CI49" s="64">
        <f t="shared" si="49"/>
        <v>5143373.1386954347</v>
      </c>
      <c r="CJ49" s="65">
        <f t="shared" si="50"/>
        <v>3771943.1013819654</v>
      </c>
      <c r="CK49" s="66">
        <f t="shared" si="51"/>
        <v>12890.021535505568</v>
      </c>
      <c r="CL49" s="69">
        <f t="shared" si="52"/>
        <v>6378231.8869665386</v>
      </c>
      <c r="CM49" s="6">
        <f t="shared" si="96"/>
        <v>6378245</v>
      </c>
      <c r="CN49" s="6">
        <f t="shared" si="96"/>
        <v>3.352329869259135E-3</v>
      </c>
      <c r="CO49" s="9">
        <f t="shared" si="54"/>
        <v>6.6934216229659433E-3</v>
      </c>
      <c r="CP49" s="9">
        <f t="shared" si="55"/>
        <v>6378244.911930861</v>
      </c>
      <c r="CQ49" s="9">
        <f t="shared" si="56"/>
        <v>2.0209368702047577E-3</v>
      </c>
      <c r="CR49" s="9">
        <f t="shared" si="57"/>
        <v>3.3467108576934797E-3</v>
      </c>
      <c r="CS49" s="9">
        <f t="shared" ca="1" si="58"/>
        <v>1.3618097007062995E-5</v>
      </c>
      <c r="CT49" s="9">
        <f t="shared" ca="1" si="59"/>
        <v>2.0345549672118207E-3</v>
      </c>
      <c r="CU49" s="46">
        <f t="shared" ca="1" si="94"/>
        <v>1.3618097007062995E-5</v>
      </c>
      <c r="CV49" s="70">
        <f t="shared" ca="1" si="60"/>
        <v>0</v>
      </c>
      <c r="CW49" s="71">
        <f t="shared" ca="1" si="61"/>
        <v>2.0345549672118207E-3</v>
      </c>
      <c r="CX49" s="59">
        <f t="shared" ca="1" si="62"/>
        <v>0</v>
      </c>
      <c r="CY49" s="60">
        <f t="shared" ca="1" si="63"/>
        <v>6</v>
      </c>
      <c r="CZ49" s="61">
        <f t="shared" ca="1" si="64"/>
        <v>59.6571</v>
      </c>
      <c r="DA49" s="6">
        <f t="shared" ca="1" si="65"/>
        <v>0.11657141280861491</v>
      </c>
      <c r="DB49" s="6">
        <f t="shared" si="66"/>
        <v>0.63276604640771628</v>
      </c>
      <c r="DC49" s="6">
        <f t="shared" si="67"/>
        <v>0</v>
      </c>
      <c r="DD49" s="6">
        <f t="shared" si="68"/>
        <v>0.63276604640771628</v>
      </c>
      <c r="DE49" s="60">
        <f t="shared" si="69"/>
        <v>36</v>
      </c>
      <c r="DF49" s="60">
        <f t="shared" si="70"/>
        <v>15</v>
      </c>
      <c r="DG49" s="61">
        <f t="shared" si="71"/>
        <v>17.366</v>
      </c>
      <c r="DH49" s="6">
        <f t="shared" si="72"/>
        <v>36.254823878341327</v>
      </c>
      <c r="DI49" s="66">
        <f t="shared" ca="1" si="73"/>
        <v>-3.001755103468895E-4</v>
      </c>
      <c r="DJ49" s="55">
        <f t="shared" si="74"/>
        <v>39</v>
      </c>
      <c r="DK49" s="6">
        <f t="shared" si="75"/>
        <v>-4.7912361870072265E-2</v>
      </c>
      <c r="DL49" s="6">
        <f t="shared" si="76"/>
        <v>6356863.0187730473</v>
      </c>
      <c r="DM49" s="6">
        <f t="shared" si="77"/>
        <v>6.7385254146834087E-3</v>
      </c>
      <c r="DN49" s="72">
        <f t="shared" ca="1" si="78"/>
        <v>6.7384975211760307E-3</v>
      </c>
      <c r="DO49" s="73">
        <f t="shared" ca="1" si="79"/>
        <v>6378245.0883603953</v>
      </c>
      <c r="DP49" s="6">
        <f t="shared" si="80"/>
        <v>1.0050517725429551</v>
      </c>
      <c r="DQ49" s="6">
        <f t="shared" si="81"/>
        <v>-2.5311877419908228E-3</v>
      </c>
      <c r="DR49" s="6">
        <f t="shared" si="82"/>
        <v>2.6558601241364054E-6</v>
      </c>
      <c r="DS49" s="6">
        <f t="shared" si="83"/>
        <v>-3.4165783147131439E-9</v>
      </c>
      <c r="DT49" s="6">
        <f t="shared" si="93"/>
        <v>7</v>
      </c>
      <c r="DU49" s="6">
        <f t="shared" si="93"/>
        <v>0</v>
      </c>
      <c r="DV49" s="6">
        <f t="shared" si="93"/>
        <v>500000</v>
      </c>
      <c r="DW49" s="6">
        <f t="shared" si="93"/>
        <v>1</v>
      </c>
      <c r="DX49" s="74">
        <f t="shared" ca="1" si="84"/>
        <v>12890.030428976437</v>
      </c>
      <c r="DY49" s="58">
        <f t="shared" ca="1" si="85"/>
        <v>-305713.93034284032</v>
      </c>
      <c r="DZ49" s="64">
        <f t="shared" ca="1" si="86"/>
        <v>12904.939659140397</v>
      </c>
      <c r="EA49" s="66">
        <f t="shared" ca="1" si="87"/>
        <v>7194286.06965716</v>
      </c>
    </row>
    <row r="50" spans="10:131" ht="15.75" x14ac:dyDescent="0.25">
      <c r="J50" s="82"/>
      <c r="Q50" s="81"/>
      <c r="R50" s="81"/>
      <c r="T50" s="53"/>
      <c r="U50" s="83"/>
      <c r="V50" s="83"/>
      <c r="W50" s="54"/>
      <c r="X50" s="55">
        <f t="shared" si="88"/>
        <v>1</v>
      </c>
      <c r="Y50" s="6">
        <f t="shared" si="88"/>
        <v>-12900</v>
      </c>
      <c r="Z50" s="6">
        <f t="shared" si="88"/>
        <v>250000</v>
      </c>
      <c r="AA50" s="6">
        <f t="shared" si="10"/>
        <v>0</v>
      </c>
      <c r="AB50" s="30">
        <f t="shared" si="8"/>
        <v>12900</v>
      </c>
      <c r="AC50" s="30">
        <f t="shared" si="9"/>
        <v>-250000</v>
      </c>
      <c r="AD50" s="6">
        <f t="shared" si="95"/>
        <v>38.5</v>
      </c>
      <c r="AE50" s="6">
        <f t="shared" si="95"/>
        <v>6378245</v>
      </c>
      <c r="AF50" s="6">
        <f t="shared" si="12"/>
        <v>6356863.0187730473</v>
      </c>
      <c r="AG50" s="6">
        <f t="shared" si="13"/>
        <v>3.352329869259135E-3</v>
      </c>
      <c r="AH50" s="8">
        <f t="shared" si="14"/>
        <v>6.6934216229658618E-3</v>
      </c>
      <c r="AI50" s="56">
        <f t="shared" si="15"/>
        <v>6.7385254146834087E-3</v>
      </c>
      <c r="AJ50" s="57">
        <f t="shared" si="16"/>
        <v>6378245.0883603953</v>
      </c>
      <c r="AK50" s="8">
        <f t="shared" si="17"/>
        <v>2.0361285582720838E-3</v>
      </c>
      <c r="AL50" s="8">
        <f t="shared" si="18"/>
        <v>6367558.4882606138</v>
      </c>
      <c r="AM50" s="8">
        <f t="shared" si="19"/>
        <v>16036.473376007938</v>
      </c>
      <c r="AN50" s="8">
        <f t="shared" si="20"/>
        <v>16.826341825445081</v>
      </c>
      <c r="AO50" s="8">
        <f t="shared" si="21"/>
        <v>2.1689203848674052E-2</v>
      </c>
      <c r="AP50" s="8">
        <f t="shared" si="22"/>
        <v>1.5704606433433228E-7</v>
      </c>
      <c r="AQ50" s="8">
        <f t="shared" si="23"/>
        <v>2.5184636976839014E-3</v>
      </c>
      <c r="AR50" s="8">
        <f t="shared" si="24"/>
        <v>3.70015534400603E-6</v>
      </c>
      <c r="AS50" s="8">
        <f t="shared" si="25"/>
        <v>7.4016654475384287E-9</v>
      </c>
      <c r="AT50" s="8">
        <f t="shared" si="26"/>
        <v>6378245.0884971283</v>
      </c>
      <c r="AU50" s="8">
        <f t="shared" si="27"/>
        <v>8.2088351658514316E-2</v>
      </c>
      <c r="AV50" s="8">
        <f t="shared" si="28"/>
        <v>2.0361313720839145E-3</v>
      </c>
      <c r="AW50" s="8">
        <f t="shared" si="29"/>
        <v>1.0067384974780118</v>
      </c>
      <c r="AX50" s="58">
        <f t="shared" si="30"/>
        <v>2.0345549675285794E-3</v>
      </c>
      <c r="AY50" s="59">
        <f t="shared" si="31"/>
        <v>0</v>
      </c>
      <c r="AZ50" s="60">
        <f t="shared" si="32"/>
        <v>6</v>
      </c>
      <c r="BA50" s="61">
        <f t="shared" si="33"/>
        <v>59.657086176349864</v>
      </c>
      <c r="BB50" s="56">
        <f t="shared" si="34"/>
        <v>0.11657141282676385</v>
      </c>
      <c r="BC50" s="56">
        <f t="shared" si="35"/>
        <v>-3.9185715631620689E-2</v>
      </c>
      <c r="BD50" s="56">
        <f t="shared" si="36"/>
        <v>0.63276604638619627</v>
      </c>
      <c r="BE50" s="56">
        <f t="shared" si="37"/>
        <v>36.254823877108315</v>
      </c>
      <c r="BF50" s="62">
        <f t="shared" si="38"/>
        <v>36</v>
      </c>
      <c r="BG50" s="60">
        <f t="shared" si="39"/>
        <v>15</v>
      </c>
      <c r="BH50" s="63">
        <f t="shared" si="40"/>
        <v>17.365957589933601</v>
      </c>
      <c r="BI50" s="64">
        <f t="shared" si="41"/>
        <v>5143373.1390186641</v>
      </c>
      <c r="BJ50" s="65">
        <f t="shared" si="42"/>
        <v>3771943.1014487948</v>
      </c>
      <c r="BK50" s="66">
        <f t="shared" si="43"/>
        <v>12890.021538123134</v>
      </c>
      <c r="BL50" s="55">
        <f t="shared" si="89"/>
        <v>23.92</v>
      </c>
      <c r="BM50" s="6">
        <f t="shared" si="89"/>
        <v>-141.27000000000001</v>
      </c>
      <c r="BN50" s="6">
        <f t="shared" si="89"/>
        <v>-80.900000000000006</v>
      </c>
      <c r="BO50" s="6">
        <f t="shared" si="89"/>
        <v>0</v>
      </c>
      <c r="BP50" s="6">
        <f t="shared" si="89"/>
        <v>-0.35</v>
      </c>
      <c r="BQ50" s="6">
        <f t="shared" si="89"/>
        <v>-0.82</v>
      </c>
      <c r="BR50" s="6">
        <f t="shared" si="90"/>
        <v>0</v>
      </c>
      <c r="BS50" s="6">
        <f t="shared" si="90"/>
        <v>-1.6968478838833759E-6</v>
      </c>
      <c r="BT50" s="6">
        <f t="shared" si="90"/>
        <v>-3.9754721850981945E-6</v>
      </c>
      <c r="BU50" s="67">
        <f t="shared" si="44"/>
        <v>-0.22</v>
      </c>
      <c r="BV50" s="59">
        <f t="shared" si="45"/>
        <v>5143380.9540973902</v>
      </c>
      <c r="BW50" s="60">
        <f t="shared" si="46"/>
        <v>3771821.4489536658</v>
      </c>
      <c r="BX50" s="68">
        <f t="shared" si="47"/>
        <v>12800.391182411484</v>
      </c>
      <c r="BY50" s="55">
        <f t="shared" si="91"/>
        <v>23.92</v>
      </c>
      <c r="BZ50" s="6">
        <f t="shared" si="91"/>
        <v>-141.27000000000001</v>
      </c>
      <c r="CA50" s="6">
        <f t="shared" si="91"/>
        <v>-80.900000000000006</v>
      </c>
      <c r="CB50" s="6">
        <f t="shared" si="91"/>
        <v>0</v>
      </c>
      <c r="CC50" s="6">
        <f t="shared" si="91"/>
        <v>-0.35</v>
      </c>
      <c r="CD50" s="6">
        <f t="shared" si="91"/>
        <v>-0.82</v>
      </c>
      <c r="CE50" s="6">
        <f t="shared" si="92"/>
        <v>0</v>
      </c>
      <c r="CF50" s="6">
        <f t="shared" si="92"/>
        <v>-1.6968478838833759E-6</v>
      </c>
      <c r="CG50" s="6">
        <f t="shared" si="92"/>
        <v>-3.9754721850981945E-6</v>
      </c>
      <c r="CH50" s="67">
        <f t="shared" si="48"/>
        <v>-0.22</v>
      </c>
      <c r="CI50" s="64">
        <f t="shared" si="49"/>
        <v>5143373.1386954347</v>
      </c>
      <c r="CJ50" s="65">
        <f t="shared" si="50"/>
        <v>3771943.1013819654</v>
      </c>
      <c r="CK50" s="66">
        <f t="shared" si="51"/>
        <v>12890.021535505568</v>
      </c>
      <c r="CL50" s="69">
        <f t="shared" si="52"/>
        <v>6378231.8869665386</v>
      </c>
      <c r="CM50" s="6">
        <f t="shared" si="96"/>
        <v>6378245</v>
      </c>
      <c r="CN50" s="6">
        <f t="shared" si="96"/>
        <v>3.352329869259135E-3</v>
      </c>
      <c r="CO50" s="9">
        <f t="shared" si="54"/>
        <v>6.6934216229659433E-3</v>
      </c>
      <c r="CP50" s="9">
        <f t="shared" si="55"/>
        <v>6378244.911930861</v>
      </c>
      <c r="CQ50" s="9">
        <f t="shared" si="56"/>
        <v>2.0209368702047577E-3</v>
      </c>
      <c r="CR50" s="9">
        <f t="shared" si="57"/>
        <v>3.3467108576934797E-3</v>
      </c>
      <c r="CS50" s="9">
        <f t="shared" ca="1" si="58"/>
        <v>1.3618097007062995E-5</v>
      </c>
      <c r="CT50" s="9">
        <f t="shared" ca="1" si="59"/>
        <v>2.0345549672118207E-3</v>
      </c>
      <c r="CU50" s="46">
        <f t="shared" ca="1" si="94"/>
        <v>1.3618097007062995E-5</v>
      </c>
      <c r="CV50" s="70">
        <f t="shared" ca="1" si="60"/>
        <v>0</v>
      </c>
      <c r="CW50" s="71">
        <f t="shared" ca="1" si="61"/>
        <v>2.0345549672118207E-3</v>
      </c>
      <c r="CX50" s="59">
        <f t="shared" ca="1" si="62"/>
        <v>0</v>
      </c>
      <c r="CY50" s="60">
        <f t="shared" ca="1" si="63"/>
        <v>6</v>
      </c>
      <c r="CZ50" s="61">
        <f t="shared" ca="1" si="64"/>
        <v>59.6571</v>
      </c>
      <c r="DA50" s="6">
        <f t="shared" ca="1" si="65"/>
        <v>0.11657141280861491</v>
      </c>
      <c r="DB50" s="6">
        <f t="shared" si="66"/>
        <v>0.63276604640771628</v>
      </c>
      <c r="DC50" s="6">
        <f t="shared" si="67"/>
        <v>0</v>
      </c>
      <c r="DD50" s="6">
        <f t="shared" si="68"/>
        <v>0.63276604640771628</v>
      </c>
      <c r="DE50" s="60">
        <f t="shared" si="69"/>
        <v>36</v>
      </c>
      <c r="DF50" s="60">
        <f t="shared" si="70"/>
        <v>15</v>
      </c>
      <c r="DG50" s="61">
        <f t="shared" si="71"/>
        <v>17.366</v>
      </c>
      <c r="DH50" s="6">
        <f t="shared" si="72"/>
        <v>36.254823878341327</v>
      </c>
      <c r="DI50" s="66">
        <f t="shared" ca="1" si="73"/>
        <v>-3.001755103468895E-4</v>
      </c>
      <c r="DJ50" s="55">
        <f t="shared" si="74"/>
        <v>39</v>
      </c>
      <c r="DK50" s="6">
        <f t="shared" si="75"/>
        <v>-4.7912361870072265E-2</v>
      </c>
      <c r="DL50" s="6">
        <f t="shared" si="76"/>
        <v>6356863.0187730473</v>
      </c>
      <c r="DM50" s="6">
        <f t="shared" si="77"/>
        <v>6.7385254146834087E-3</v>
      </c>
      <c r="DN50" s="72">
        <f t="shared" ca="1" si="78"/>
        <v>6.7384975211760307E-3</v>
      </c>
      <c r="DO50" s="73">
        <f t="shared" ca="1" si="79"/>
        <v>6378245.0883603953</v>
      </c>
      <c r="DP50" s="6">
        <f t="shared" si="80"/>
        <v>1.0050517725429551</v>
      </c>
      <c r="DQ50" s="6">
        <f t="shared" si="81"/>
        <v>-2.5311877419908228E-3</v>
      </c>
      <c r="DR50" s="6">
        <f t="shared" si="82"/>
        <v>2.6558601241364054E-6</v>
      </c>
      <c r="DS50" s="6">
        <f t="shared" si="83"/>
        <v>-3.4165783147131439E-9</v>
      </c>
      <c r="DT50" s="6">
        <f t="shared" si="93"/>
        <v>7</v>
      </c>
      <c r="DU50" s="6">
        <f t="shared" si="93"/>
        <v>0</v>
      </c>
      <c r="DV50" s="6">
        <f t="shared" si="93"/>
        <v>500000</v>
      </c>
      <c r="DW50" s="6">
        <f t="shared" si="93"/>
        <v>1</v>
      </c>
      <c r="DX50" s="74">
        <f t="shared" ca="1" si="84"/>
        <v>12890.030428976437</v>
      </c>
      <c r="DY50" s="58">
        <f t="shared" ca="1" si="85"/>
        <v>-305713.93034284032</v>
      </c>
      <c r="DZ50" s="64">
        <f t="shared" ca="1" si="86"/>
        <v>12904.939659140397</v>
      </c>
      <c r="EA50" s="66">
        <f t="shared" ca="1" si="87"/>
        <v>7194286.06965716</v>
      </c>
    </row>
    <row r="51" spans="10:131" ht="15.75" x14ac:dyDescent="0.25">
      <c r="J51" s="82"/>
      <c r="Q51" s="81"/>
      <c r="R51" s="81"/>
      <c r="T51" s="53"/>
      <c r="U51" s="83"/>
      <c r="V51" s="83"/>
      <c r="W51" s="54"/>
      <c r="X51" s="55">
        <f t="shared" si="88"/>
        <v>1</v>
      </c>
      <c r="Y51" s="6">
        <f t="shared" si="88"/>
        <v>-12900</v>
      </c>
      <c r="Z51" s="6">
        <f t="shared" si="88"/>
        <v>250000</v>
      </c>
      <c r="AA51" s="6">
        <f t="shared" si="10"/>
        <v>0</v>
      </c>
      <c r="AB51" s="30">
        <f t="shared" si="8"/>
        <v>12900</v>
      </c>
      <c r="AC51" s="30">
        <f t="shared" si="9"/>
        <v>-250000</v>
      </c>
      <c r="AD51" s="6">
        <f t="shared" si="95"/>
        <v>38.5</v>
      </c>
      <c r="AE51" s="6">
        <f t="shared" si="95"/>
        <v>6378245</v>
      </c>
      <c r="AF51" s="6">
        <f t="shared" si="12"/>
        <v>6356863.0187730473</v>
      </c>
      <c r="AG51" s="6">
        <f t="shared" si="13"/>
        <v>3.352329869259135E-3</v>
      </c>
      <c r="AH51" s="8">
        <f t="shared" si="14"/>
        <v>6.6934216229658618E-3</v>
      </c>
      <c r="AI51" s="56">
        <f t="shared" si="15"/>
        <v>6.7385254146834087E-3</v>
      </c>
      <c r="AJ51" s="57">
        <f t="shared" si="16"/>
        <v>6378245.0883603953</v>
      </c>
      <c r="AK51" s="8">
        <f t="shared" si="17"/>
        <v>2.0361285582720838E-3</v>
      </c>
      <c r="AL51" s="8">
        <f t="shared" si="18"/>
        <v>6367558.4882606138</v>
      </c>
      <c r="AM51" s="8">
        <f t="shared" si="19"/>
        <v>16036.473376007938</v>
      </c>
      <c r="AN51" s="8">
        <f t="shared" si="20"/>
        <v>16.826341825445081</v>
      </c>
      <c r="AO51" s="8">
        <f t="shared" si="21"/>
        <v>2.1689203848674052E-2</v>
      </c>
      <c r="AP51" s="8">
        <f t="shared" si="22"/>
        <v>1.5704606433433228E-7</v>
      </c>
      <c r="AQ51" s="8">
        <f t="shared" si="23"/>
        <v>2.5184636976839014E-3</v>
      </c>
      <c r="AR51" s="8">
        <f t="shared" si="24"/>
        <v>3.70015534400603E-6</v>
      </c>
      <c r="AS51" s="8">
        <f t="shared" si="25"/>
        <v>7.4016654475384287E-9</v>
      </c>
      <c r="AT51" s="8">
        <f t="shared" si="26"/>
        <v>6378245.0884971283</v>
      </c>
      <c r="AU51" s="8">
        <f t="shared" si="27"/>
        <v>8.2088351658514316E-2</v>
      </c>
      <c r="AV51" s="8">
        <f t="shared" si="28"/>
        <v>2.0361313720839145E-3</v>
      </c>
      <c r="AW51" s="8">
        <f t="shared" si="29"/>
        <v>1.0067384974780118</v>
      </c>
      <c r="AX51" s="58">
        <f t="shared" si="30"/>
        <v>2.0345549675285794E-3</v>
      </c>
      <c r="AY51" s="59">
        <f t="shared" si="31"/>
        <v>0</v>
      </c>
      <c r="AZ51" s="60">
        <f t="shared" si="32"/>
        <v>6</v>
      </c>
      <c r="BA51" s="61">
        <f t="shared" si="33"/>
        <v>59.657086176349864</v>
      </c>
      <c r="BB51" s="56">
        <f t="shared" si="34"/>
        <v>0.11657141282676385</v>
      </c>
      <c r="BC51" s="56">
        <f t="shared" si="35"/>
        <v>-3.9185715631620689E-2</v>
      </c>
      <c r="BD51" s="56">
        <f t="shared" si="36"/>
        <v>0.63276604638619627</v>
      </c>
      <c r="BE51" s="56">
        <f t="shared" si="37"/>
        <v>36.254823877108315</v>
      </c>
      <c r="BF51" s="62">
        <f t="shared" si="38"/>
        <v>36</v>
      </c>
      <c r="BG51" s="60">
        <f t="shared" si="39"/>
        <v>15</v>
      </c>
      <c r="BH51" s="63">
        <f t="shared" si="40"/>
        <v>17.365957589933601</v>
      </c>
      <c r="BI51" s="64">
        <f t="shared" si="41"/>
        <v>5143373.1390186641</v>
      </c>
      <c r="BJ51" s="65">
        <f t="shared" si="42"/>
        <v>3771943.1014487948</v>
      </c>
      <c r="BK51" s="66">
        <f t="shared" si="43"/>
        <v>12890.021538123134</v>
      </c>
      <c r="BL51" s="55">
        <f t="shared" si="89"/>
        <v>23.92</v>
      </c>
      <c r="BM51" s="6">
        <f t="shared" si="89"/>
        <v>-141.27000000000001</v>
      </c>
      <c r="BN51" s="6">
        <f t="shared" si="89"/>
        <v>-80.900000000000006</v>
      </c>
      <c r="BO51" s="6">
        <f t="shared" si="89"/>
        <v>0</v>
      </c>
      <c r="BP51" s="6">
        <f t="shared" si="89"/>
        <v>-0.35</v>
      </c>
      <c r="BQ51" s="6">
        <f t="shared" si="89"/>
        <v>-0.82</v>
      </c>
      <c r="BR51" s="6">
        <f t="shared" si="90"/>
        <v>0</v>
      </c>
      <c r="BS51" s="6">
        <f t="shared" si="90"/>
        <v>-1.6968478838833759E-6</v>
      </c>
      <c r="BT51" s="6">
        <f t="shared" si="90"/>
        <v>-3.9754721850981945E-6</v>
      </c>
      <c r="BU51" s="67">
        <f t="shared" si="44"/>
        <v>-0.22</v>
      </c>
      <c r="BV51" s="59">
        <f t="shared" si="45"/>
        <v>5143380.9540973902</v>
      </c>
      <c r="BW51" s="60">
        <f t="shared" si="46"/>
        <v>3771821.4489536658</v>
      </c>
      <c r="BX51" s="68">
        <f t="shared" si="47"/>
        <v>12800.391182411484</v>
      </c>
      <c r="BY51" s="55">
        <f t="shared" si="91"/>
        <v>23.92</v>
      </c>
      <c r="BZ51" s="6">
        <f t="shared" si="91"/>
        <v>-141.27000000000001</v>
      </c>
      <c r="CA51" s="6">
        <f t="shared" si="91"/>
        <v>-80.900000000000006</v>
      </c>
      <c r="CB51" s="6">
        <f t="shared" si="91"/>
        <v>0</v>
      </c>
      <c r="CC51" s="6">
        <f t="shared" si="91"/>
        <v>-0.35</v>
      </c>
      <c r="CD51" s="6">
        <f t="shared" si="91"/>
        <v>-0.82</v>
      </c>
      <c r="CE51" s="6">
        <f t="shared" si="92"/>
        <v>0</v>
      </c>
      <c r="CF51" s="6">
        <f t="shared" si="92"/>
        <v>-1.6968478838833759E-6</v>
      </c>
      <c r="CG51" s="6">
        <f t="shared" si="92"/>
        <v>-3.9754721850981945E-6</v>
      </c>
      <c r="CH51" s="67">
        <f t="shared" si="48"/>
        <v>-0.22</v>
      </c>
      <c r="CI51" s="64">
        <f t="shared" si="49"/>
        <v>5143373.1386954347</v>
      </c>
      <c r="CJ51" s="65">
        <f t="shared" si="50"/>
        <v>3771943.1013819654</v>
      </c>
      <c r="CK51" s="66">
        <f t="shared" si="51"/>
        <v>12890.021535505568</v>
      </c>
      <c r="CL51" s="69">
        <f t="shared" si="52"/>
        <v>6378231.8869665386</v>
      </c>
      <c r="CM51" s="6">
        <f t="shared" si="96"/>
        <v>6378245</v>
      </c>
      <c r="CN51" s="6">
        <f t="shared" si="96"/>
        <v>3.352329869259135E-3</v>
      </c>
      <c r="CO51" s="9">
        <f t="shared" si="54"/>
        <v>6.6934216229659433E-3</v>
      </c>
      <c r="CP51" s="9">
        <f t="shared" si="55"/>
        <v>6378244.911930861</v>
      </c>
      <c r="CQ51" s="9">
        <f t="shared" si="56"/>
        <v>2.0209368702047577E-3</v>
      </c>
      <c r="CR51" s="9">
        <f t="shared" si="57"/>
        <v>3.3467108576934797E-3</v>
      </c>
      <c r="CS51" s="9">
        <f t="shared" ca="1" si="58"/>
        <v>1.3618097007062995E-5</v>
      </c>
      <c r="CT51" s="9">
        <f t="shared" ca="1" si="59"/>
        <v>2.0345549672118207E-3</v>
      </c>
      <c r="CU51" s="46">
        <f t="shared" ca="1" si="94"/>
        <v>1.3618097007062995E-5</v>
      </c>
      <c r="CV51" s="70">
        <f t="shared" ca="1" si="60"/>
        <v>0</v>
      </c>
      <c r="CW51" s="71">
        <f t="shared" ca="1" si="61"/>
        <v>2.0345549672118207E-3</v>
      </c>
      <c r="CX51" s="59">
        <f t="shared" ca="1" si="62"/>
        <v>0</v>
      </c>
      <c r="CY51" s="60">
        <f t="shared" ca="1" si="63"/>
        <v>6</v>
      </c>
      <c r="CZ51" s="61">
        <f t="shared" ca="1" si="64"/>
        <v>59.6571</v>
      </c>
      <c r="DA51" s="6">
        <f t="shared" ca="1" si="65"/>
        <v>0.11657141280861491</v>
      </c>
      <c r="DB51" s="6">
        <f t="shared" si="66"/>
        <v>0.63276604640771628</v>
      </c>
      <c r="DC51" s="6">
        <f t="shared" si="67"/>
        <v>0</v>
      </c>
      <c r="DD51" s="6">
        <f t="shared" si="68"/>
        <v>0.63276604640771628</v>
      </c>
      <c r="DE51" s="60">
        <f t="shared" si="69"/>
        <v>36</v>
      </c>
      <c r="DF51" s="60">
        <f t="shared" si="70"/>
        <v>15</v>
      </c>
      <c r="DG51" s="61">
        <f t="shared" si="71"/>
        <v>17.366</v>
      </c>
      <c r="DH51" s="6">
        <f t="shared" si="72"/>
        <v>36.254823878341327</v>
      </c>
      <c r="DI51" s="66">
        <f t="shared" ca="1" si="73"/>
        <v>-3.001755103468895E-4</v>
      </c>
      <c r="DJ51" s="55">
        <f t="shared" si="74"/>
        <v>39</v>
      </c>
      <c r="DK51" s="6">
        <f t="shared" si="75"/>
        <v>-4.7912361870072265E-2</v>
      </c>
      <c r="DL51" s="6">
        <f t="shared" si="76"/>
        <v>6356863.0187730473</v>
      </c>
      <c r="DM51" s="6">
        <f t="shared" si="77"/>
        <v>6.7385254146834087E-3</v>
      </c>
      <c r="DN51" s="72">
        <f t="shared" ca="1" si="78"/>
        <v>6.7384975211760307E-3</v>
      </c>
      <c r="DO51" s="73">
        <f t="shared" ca="1" si="79"/>
        <v>6378245.0883603953</v>
      </c>
      <c r="DP51" s="6">
        <f t="shared" si="80"/>
        <v>1.0050517725429551</v>
      </c>
      <c r="DQ51" s="6">
        <f t="shared" si="81"/>
        <v>-2.5311877419908228E-3</v>
      </c>
      <c r="DR51" s="6">
        <f t="shared" si="82"/>
        <v>2.6558601241364054E-6</v>
      </c>
      <c r="DS51" s="6">
        <f t="shared" si="83"/>
        <v>-3.4165783147131439E-9</v>
      </c>
      <c r="DT51" s="6">
        <f t="shared" si="93"/>
        <v>7</v>
      </c>
      <c r="DU51" s="6">
        <f t="shared" si="93"/>
        <v>0</v>
      </c>
      <c r="DV51" s="6">
        <f t="shared" si="93"/>
        <v>500000</v>
      </c>
      <c r="DW51" s="6">
        <f t="shared" si="93"/>
        <v>1</v>
      </c>
      <c r="DX51" s="74">
        <f t="shared" ca="1" si="84"/>
        <v>12890.030428976437</v>
      </c>
      <c r="DY51" s="58">
        <f t="shared" ca="1" si="85"/>
        <v>-305713.93034284032</v>
      </c>
      <c r="DZ51" s="64">
        <f t="shared" ca="1" si="86"/>
        <v>12904.939659140397</v>
      </c>
      <c r="EA51" s="66">
        <f t="shared" ca="1" si="87"/>
        <v>7194286.06965716</v>
      </c>
    </row>
    <row r="52" spans="10:131" x14ac:dyDescent="0.25">
      <c r="Q52" s="81"/>
      <c r="R52" s="81"/>
      <c r="T52" s="53"/>
      <c r="U52" s="83"/>
      <c r="V52" s="83"/>
      <c r="W52" s="54"/>
      <c r="X52" s="55">
        <f t="shared" si="88"/>
        <v>1</v>
      </c>
      <c r="Y52" s="6">
        <f t="shared" si="88"/>
        <v>-12900</v>
      </c>
      <c r="Z52" s="6">
        <f t="shared" si="88"/>
        <v>250000</v>
      </c>
      <c r="AA52" s="6">
        <f t="shared" si="10"/>
        <v>0</v>
      </c>
      <c r="AB52" s="30">
        <f t="shared" si="8"/>
        <v>12900</v>
      </c>
      <c r="AC52" s="30">
        <f t="shared" si="9"/>
        <v>-250000</v>
      </c>
      <c r="AD52" s="6">
        <f t="shared" si="95"/>
        <v>38.5</v>
      </c>
      <c r="AE52" s="6">
        <f t="shared" si="95"/>
        <v>6378245</v>
      </c>
      <c r="AF52" s="6">
        <f t="shared" si="12"/>
        <v>6356863.0187730473</v>
      </c>
      <c r="AG52" s="6">
        <f t="shared" si="13"/>
        <v>3.352329869259135E-3</v>
      </c>
      <c r="AH52" s="8">
        <f t="shared" si="14"/>
        <v>6.6934216229658618E-3</v>
      </c>
      <c r="AI52" s="56">
        <f t="shared" si="15"/>
        <v>6.7385254146834087E-3</v>
      </c>
      <c r="AJ52" s="57">
        <f t="shared" si="16"/>
        <v>6378245.0883603953</v>
      </c>
      <c r="AK52" s="8">
        <f t="shared" si="17"/>
        <v>2.0361285582720838E-3</v>
      </c>
      <c r="AL52" s="8">
        <f t="shared" si="18"/>
        <v>6367558.4882606138</v>
      </c>
      <c r="AM52" s="8">
        <f t="shared" si="19"/>
        <v>16036.473376007938</v>
      </c>
      <c r="AN52" s="8">
        <f t="shared" si="20"/>
        <v>16.826341825445081</v>
      </c>
      <c r="AO52" s="8">
        <f t="shared" si="21"/>
        <v>2.1689203848674052E-2</v>
      </c>
      <c r="AP52" s="8">
        <f t="shared" si="22"/>
        <v>1.5704606433433228E-7</v>
      </c>
      <c r="AQ52" s="8">
        <f t="shared" si="23"/>
        <v>2.5184636976839014E-3</v>
      </c>
      <c r="AR52" s="8">
        <f t="shared" si="24"/>
        <v>3.70015534400603E-6</v>
      </c>
      <c r="AS52" s="8">
        <f t="shared" si="25"/>
        <v>7.4016654475384287E-9</v>
      </c>
      <c r="AT52" s="8">
        <f t="shared" si="26"/>
        <v>6378245.0884971283</v>
      </c>
      <c r="AU52" s="8">
        <f t="shared" si="27"/>
        <v>8.2088351658514316E-2</v>
      </c>
      <c r="AV52" s="8">
        <f t="shared" si="28"/>
        <v>2.0361313720839145E-3</v>
      </c>
      <c r="AW52" s="8">
        <f t="shared" si="29"/>
        <v>1.0067384974780118</v>
      </c>
      <c r="AX52" s="58">
        <f t="shared" si="30"/>
        <v>2.0345549675285794E-3</v>
      </c>
      <c r="AY52" s="59">
        <f t="shared" si="31"/>
        <v>0</v>
      </c>
      <c r="AZ52" s="60">
        <f t="shared" si="32"/>
        <v>6</v>
      </c>
      <c r="BA52" s="61">
        <f t="shared" si="33"/>
        <v>59.657086176349864</v>
      </c>
      <c r="BB52" s="56">
        <f t="shared" si="34"/>
        <v>0.11657141282676385</v>
      </c>
      <c r="BC52" s="56">
        <f t="shared" si="35"/>
        <v>-3.9185715631620689E-2</v>
      </c>
      <c r="BD52" s="56">
        <f t="shared" si="36"/>
        <v>0.63276604638619627</v>
      </c>
      <c r="BE52" s="56">
        <f t="shared" si="37"/>
        <v>36.254823877108315</v>
      </c>
      <c r="BF52" s="62">
        <f t="shared" si="38"/>
        <v>36</v>
      </c>
      <c r="BG52" s="60">
        <f t="shared" si="39"/>
        <v>15</v>
      </c>
      <c r="BH52" s="63">
        <f t="shared" si="40"/>
        <v>17.365957589933601</v>
      </c>
      <c r="BI52" s="64">
        <f t="shared" si="41"/>
        <v>5143373.1390186641</v>
      </c>
      <c r="BJ52" s="65">
        <f t="shared" si="42"/>
        <v>3771943.1014487948</v>
      </c>
      <c r="BK52" s="66">
        <f t="shared" si="43"/>
        <v>12890.021538123134</v>
      </c>
      <c r="BL52" s="55">
        <f t="shared" si="89"/>
        <v>23.92</v>
      </c>
      <c r="BM52" s="6">
        <f t="shared" si="89"/>
        <v>-141.27000000000001</v>
      </c>
      <c r="BN52" s="6">
        <f t="shared" si="89"/>
        <v>-80.900000000000006</v>
      </c>
      <c r="BO52" s="6">
        <f t="shared" si="89"/>
        <v>0</v>
      </c>
      <c r="BP52" s="6">
        <f t="shared" si="89"/>
        <v>-0.35</v>
      </c>
      <c r="BQ52" s="6">
        <f t="shared" si="89"/>
        <v>-0.82</v>
      </c>
      <c r="BR52" s="6">
        <f t="shared" si="90"/>
        <v>0</v>
      </c>
      <c r="BS52" s="6">
        <f t="shared" si="90"/>
        <v>-1.6968478838833759E-6</v>
      </c>
      <c r="BT52" s="6">
        <f t="shared" si="90"/>
        <v>-3.9754721850981945E-6</v>
      </c>
      <c r="BU52" s="67">
        <f t="shared" si="44"/>
        <v>-0.22</v>
      </c>
      <c r="BV52" s="59">
        <f t="shared" si="45"/>
        <v>5143380.9540973902</v>
      </c>
      <c r="BW52" s="60">
        <f t="shared" si="46"/>
        <v>3771821.4489536658</v>
      </c>
      <c r="BX52" s="68">
        <f t="shared" si="47"/>
        <v>12800.391182411484</v>
      </c>
      <c r="BY52" s="55">
        <f t="shared" si="91"/>
        <v>23.92</v>
      </c>
      <c r="BZ52" s="6">
        <f t="shared" si="91"/>
        <v>-141.27000000000001</v>
      </c>
      <c r="CA52" s="6">
        <f t="shared" si="91"/>
        <v>-80.900000000000006</v>
      </c>
      <c r="CB52" s="6">
        <f t="shared" si="91"/>
        <v>0</v>
      </c>
      <c r="CC52" s="6">
        <f t="shared" si="91"/>
        <v>-0.35</v>
      </c>
      <c r="CD52" s="6">
        <f t="shared" si="91"/>
        <v>-0.82</v>
      </c>
      <c r="CE52" s="6">
        <f t="shared" si="92"/>
        <v>0</v>
      </c>
      <c r="CF52" s="6">
        <f t="shared" si="92"/>
        <v>-1.6968478838833759E-6</v>
      </c>
      <c r="CG52" s="6">
        <f t="shared" si="92"/>
        <v>-3.9754721850981945E-6</v>
      </c>
      <c r="CH52" s="67">
        <f t="shared" si="48"/>
        <v>-0.22</v>
      </c>
      <c r="CI52" s="64">
        <f t="shared" si="49"/>
        <v>5143373.1386954347</v>
      </c>
      <c r="CJ52" s="65">
        <f t="shared" si="50"/>
        <v>3771943.1013819654</v>
      </c>
      <c r="CK52" s="66">
        <f t="shared" si="51"/>
        <v>12890.021535505568</v>
      </c>
      <c r="CL52" s="69">
        <f t="shared" si="52"/>
        <v>6378231.8869665386</v>
      </c>
      <c r="CM52" s="6">
        <f t="shared" si="96"/>
        <v>6378245</v>
      </c>
      <c r="CN52" s="6">
        <f t="shared" si="96"/>
        <v>3.352329869259135E-3</v>
      </c>
      <c r="CO52" s="9">
        <f t="shared" si="54"/>
        <v>6.6934216229659433E-3</v>
      </c>
      <c r="CP52" s="9">
        <f t="shared" si="55"/>
        <v>6378244.911930861</v>
      </c>
      <c r="CQ52" s="9">
        <f t="shared" si="56"/>
        <v>2.0209368702047577E-3</v>
      </c>
      <c r="CR52" s="9">
        <f t="shared" si="57"/>
        <v>3.3467108576934797E-3</v>
      </c>
      <c r="CS52" s="9">
        <f t="shared" ca="1" si="58"/>
        <v>1.3618097007062995E-5</v>
      </c>
      <c r="CT52" s="9">
        <f t="shared" ca="1" si="59"/>
        <v>2.0345549672118207E-3</v>
      </c>
      <c r="CU52" s="46">
        <f t="shared" ca="1" si="94"/>
        <v>1.3618097007062995E-5</v>
      </c>
      <c r="CV52" s="70">
        <f t="shared" ca="1" si="60"/>
        <v>0</v>
      </c>
      <c r="CW52" s="71">
        <f t="shared" ca="1" si="61"/>
        <v>2.0345549672118207E-3</v>
      </c>
      <c r="CX52" s="59">
        <f t="shared" ca="1" si="62"/>
        <v>0</v>
      </c>
      <c r="CY52" s="60">
        <f t="shared" ca="1" si="63"/>
        <v>6</v>
      </c>
      <c r="CZ52" s="61">
        <f t="shared" ca="1" si="64"/>
        <v>59.6571</v>
      </c>
      <c r="DA52" s="6">
        <f t="shared" ca="1" si="65"/>
        <v>0.11657141280861491</v>
      </c>
      <c r="DB52" s="6">
        <f t="shared" si="66"/>
        <v>0.63276604640771628</v>
      </c>
      <c r="DC52" s="6">
        <f t="shared" si="67"/>
        <v>0</v>
      </c>
      <c r="DD52" s="6">
        <f t="shared" si="68"/>
        <v>0.63276604640771628</v>
      </c>
      <c r="DE52" s="60">
        <f t="shared" si="69"/>
        <v>36</v>
      </c>
      <c r="DF52" s="60">
        <f t="shared" si="70"/>
        <v>15</v>
      </c>
      <c r="DG52" s="61">
        <f t="shared" si="71"/>
        <v>17.366</v>
      </c>
      <c r="DH52" s="6">
        <f t="shared" si="72"/>
        <v>36.254823878341327</v>
      </c>
      <c r="DI52" s="66">
        <f t="shared" ca="1" si="73"/>
        <v>-3.001755103468895E-4</v>
      </c>
      <c r="DJ52" s="55">
        <f t="shared" si="74"/>
        <v>39</v>
      </c>
      <c r="DK52" s="6">
        <f t="shared" si="75"/>
        <v>-4.7912361870072265E-2</v>
      </c>
      <c r="DL52" s="6">
        <f t="shared" si="76"/>
        <v>6356863.0187730473</v>
      </c>
      <c r="DM52" s="6">
        <f t="shared" si="77"/>
        <v>6.7385254146834087E-3</v>
      </c>
      <c r="DN52" s="72">
        <f t="shared" ca="1" si="78"/>
        <v>6.7384975211760307E-3</v>
      </c>
      <c r="DO52" s="73">
        <f t="shared" ca="1" si="79"/>
        <v>6378245.0883603953</v>
      </c>
      <c r="DP52" s="6">
        <f t="shared" si="80"/>
        <v>1.0050517725429551</v>
      </c>
      <c r="DQ52" s="6">
        <f t="shared" si="81"/>
        <v>-2.5311877419908228E-3</v>
      </c>
      <c r="DR52" s="6">
        <f t="shared" si="82"/>
        <v>2.6558601241364054E-6</v>
      </c>
      <c r="DS52" s="6">
        <f t="shared" si="83"/>
        <v>-3.4165783147131439E-9</v>
      </c>
      <c r="DT52" s="6">
        <f t="shared" si="93"/>
        <v>7</v>
      </c>
      <c r="DU52" s="6">
        <f t="shared" si="93"/>
        <v>0</v>
      </c>
      <c r="DV52" s="6">
        <f t="shared" si="93"/>
        <v>500000</v>
      </c>
      <c r="DW52" s="6">
        <f t="shared" si="93"/>
        <v>1</v>
      </c>
      <c r="DX52" s="74">
        <f t="shared" ca="1" si="84"/>
        <v>12890.030428976437</v>
      </c>
      <c r="DY52" s="58">
        <f t="shared" ca="1" si="85"/>
        <v>-305713.93034284032</v>
      </c>
      <c r="DZ52" s="64">
        <f t="shared" ca="1" si="86"/>
        <v>12904.939659140397</v>
      </c>
      <c r="EA52" s="66">
        <f t="shared" ca="1" si="87"/>
        <v>7194286.06965716</v>
      </c>
    </row>
    <row r="53" spans="10:131" x14ac:dyDescent="0.25">
      <c r="Q53" s="81"/>
      <c r="R53" s="81"/>
      <c r="T53" s="53"/>
      <c r="U53" s="83"/>
      <c r="V53" s="83"/>
      <c r="W53" s="54"/>
      <c r="X53" s="55">
        <f t="shared" si="88"/>
        <v>1</v>
      </c>
      <c r="Y53" s="6">
        <f t="shared" si="88"/>
        <v>-12900</v>
      </c>
      <c r="Z53" s="6">
        <f t="shared" si="88"/>
        <v>250000</v>
      </c>
      <c r="AA53" s="6">
        <f t="shared" si="10"/>
        <v>0</v>
      </c>
      <c r="AB53" s="30">
        <f t="shared" si="8"/>
        <v>12900</v>
      </c>
      <c r="AC53" s="30">
        <f t="shared" si="9"/>
        <v>-250000</v>
      </c>
      <c r="AD53" s="6">
        <f t="shared" si="95"/>
        <v>38.5</v>
      </c>
      <c r="AE53" s="6">
        <f t="shared" si="95"/>
        <v>6378245</v>
      </c>
      <c r="AF53" s="6">
        <f t="shared" si="12"/>
        <v>6356863.0187730473</v>
      </c>
      <c r="AG53" s="6">
        <f t="shared" si="13"/>
        <v>3.352329869259135E-3</v>
      </c>
      <c r="AH53" s="8">
        <f t="shared" si="14"/>
        <v>6.6934216229658618E-3</v>
      </c>
      <c r="AI53" s="56">
        <f t="shared" si="15"/>
        <v>6.7385254146834087E-3</v>
      </c>
      <c r="AJ53" s="57">
        <f t="shared" si="16"/>
        <v>6378245.0883603953</v>
      </c>
      <c r="AK53" s="8">
        <f t="shared" si="17"/>
        <v>2.0361285582720838E-3</v>
      </c>
      <c r="AL53" s="8">
        <f t="shared" si="18"/>
        <v>6367558.4882606138</v>
      </c>
      <c r="AM53" s="8">
        <f t="shared" si="19"/>
        <v>16036.473376007938</v>
      </c>
      <c r="AN53" s="8">
        <f t="shared" si="20"/>
        <v>16.826341825445081</v>
      </c>
      <c r="AO53" s="8">
        <f t="shared" si="21"/>
        <v>2.1689203848674052E-2</v>
      </c>
      <c r="AP53" s="8">
        <f t="shared" si="22"/>
        <v>1.5704606433433228E-7</v>
      </c>
      <c r="AQ53" s="8">
        <f t="shared" si="23"/>
        <v>2.5184636976839014E-3</v>
      </c>
      <c r="AR53" s="8">
        <f t="shared" si="24"/>
        <v>3.70015534400603E-6</v>
      </c>
      <c r="AS53" s="8">
        <f t="shared" si="25"/>
        <v>7.4016654475384287E-9</v>
      </c>
      <c r="AT53" s="8">
        <f t="shared" si="26"/>
        <v>6378245.0884971283</v>
      </c>
      <c r="AU53" s="8">
        <f t="shared" si="27"/>
        <v>8.2088351658514316E-2</v>
      </c>
      <c r="AV53" s="8">
        <f t="shared" si="28"/>
        <v>2.0361313720839145E-3</v>
      </c>
      <c r="AW53" s="8">
        <f t="shared" si="29"/>
        <v>1.0067384974780118</v>
      </c>
      <c r="AX53" s="58">
        <f t="shared" si="30"/>
        <v>2.0345549675285794E-3</v>
      </c>
      <c r="AY53" s="59">
        <f t="shared" si="31"/>
        <v>0</v>
      </c>
      <c r="AZ53" s="60">
        <f t="shared" si="32"/>
        <v>6</v>
      </c>
      <c r="BA53" s="61">
        <f t="shared" si="33"/>
        <v>59.657086176349864</v>
      </c>
      <c r="BB53" s="56">
        <f t="shared" si="34"/>
        <v>0.11657141282676385</v>
      </c>
      <c r="BC53" s="56">
        <f t="shared" si="35"/>
        <v>-3.9185715631620689E-2</v>
      </c>
      <c r="BD53" s="56">
        <f t="shared" si="36"/>
        <v>0.63276604638619627</v>
      </c>
      <c r="BE53" s="56">
        <f t="shared" si="37"/>
        <v>36.254823877108315</v>
      </c>
      <c r="BF53" s="62">
        <f t="shared" si="38"/>
        <v>36</v>
      </c>
      <c r="BG53" s="60">
        <f t="shared" si="39"/>
        <v>15</v>
      </c>
      <c r="BH53" s="63">
        <f t="shared" si="40"/>
        <v>17.365957589933601</v>
      </c>
      <c r="BI53" s="64">
        <f t="shared" si="41"/>
        <v>5143373.1390186641</v>
      </c>
      <c r="BJ53" s="65">
        <f t="shared" si="42"/>
        <v>3771943.1014487948</v>
      </c>
      <c r="BK53" s="66">
        <f t="shared" si="43"/>
        <v>12890.021538123134</v>
      </c>
      <c r="BL53" s="55">
        <f t="shared" si="89"/>
        <v>23.92</v>
      </c>
      <c r="BM53" s="6">
        <f t="shared" si="89"/>
        <v>-141.27000000000001</v>
      </c>
      <c r="BN53" s="6">
        <f t="shared" si="89"/>
        <v>-80.900000000000006</v>
      </c>
      <c r="BO53" s="6">
        <f t="shared" si="89"/>
        <v>0</v>
      </c>
      <c r="BP53" s="6">
        <f t="shared" si="89"/>
        <v>-0.35</v>
      </c>
      <c r="BQ53" s="6">
        <f t="shared" si="89"/>
        <v>-0.82</v>
      </c>
      <c r="BR53" s="6">
        <f t="shared" si="90"/>
        <v>0</v>
      </c>
      <c r="BS53" s="6">
        <f t="shared" si="90"/>
        <v>-1.6968478838833759E-6</v>
      </c>
      <c r="BT53" s="6">
        <f t="shared" si="90"/>
        <v>-3.9754721850981945E-6</v>
      </c>
      <c r="BU53" s="67">
        <f t="shared" si="44"/>
        <v>-0.22</v>
      </c>
      <c r="BV53" s="59">
        <f t="shared" si="45"/>
        <v>5143380.9540973902</v>
      </c>
      <c r="BW53" s="60">
        <f t="shared" si="46"/>
        <v>3771821.4489536658</v>
      </c>
      <c r="BX53" s="68">
        <f t="shared" si="47"/>
        <v>12800.391182411484</v>
      </c>
      <c r="BY53" s="55">
        <f t="shared" si="91"/>
        <v>23.92</v>
      </c>
      <c r="BZ53" s="6">
        <f t="shared" si="91"/>
        <v>-141.27000000000001</v>
      </c>
      <c r="CA53" s="6">
        <f t="shared" si="91"/>
        <v>-80.900000000000006</v>
      </c>
      <c r="CB53" s="6">
        <f t="shared" si="91"/>
        <v>0</v>
      </c>
      <c r="CC53" s="6">
        <f t="shared" si="91"/>
        <v>-0.35</v>
      </c>
      <c r="CD53" s="6">
        <f t="shared" si="91"/>
        <v>-0.82</v>
      </c>
      <c r="CE53" s="6">
        <f t="shared" si="92"/>
        <v>0</v>
      </c>
      <c r="CF53" s="6">
        <f t="shared" si="92"/>
        <v>-1.6968478838833759E-6</v>
      </c>
      <c r="CG53" s="6">
        <f t="shared" si="92"/>
        <v>-3.9754721850981945E-6</v>
      </c>
      <c r="CH53" s="67">
        <f t="shared" si="48"/>
        <v>-0.22</v>
      </c>
      <c r="CI53" s="64">
        <f t="shared" si="49"/>
        <v>5143373.1386954347</v>
      </c>
      <c r="CJ53" s="65">
        <f t="shared" si="50"/>
        <v>3771943.1013819654</v>
      </c>
      <c r="CK53" s="66">
        <f t="shared" si="51"/>
        <v>12890.021535505568</v>
      </c>
      <c r="CL53" s="69">
        <f t="shared" si="52"/>
        <v>6378231.8869665386</v>
      </c>
      <c r="CM53" s="6">
        <f t="shared" si="96"/>
        <v>6378245</v>
      </c>
      <c r="CN53" s="6">
        <f t="shared" si="96"/>
        <v>3.352329869259135E-3</v>
      </c>
      <c r="CO53" s="9">
        <f t="shared" si="54"/>
        <v>6.6934216229659433E-3</v>
      </c>
      <c r="CP53" s="9">
        <f t="shared" si="55"/>
        <v>6378244.911930861</v>
      </c>
      <c r="CQ53" s="9">
        <f t="shared" si="56"/>
        <v>2.0209368702047577E-3</v>
      </c>
      <c r="CR53" s="9">
        <f t="shared" si="57"/>
        <v>3.3467108576934797E-3</v>
      </c>
      <c r="CS53" s="9">
        <f t="shared" ca="1" si="58"/>
        <v>1.3618097007062995E-5</v>
      </c>
      <c r="CT53" s="9">
        <f t="shared" ca="1" si="59"/>
        <v>2.0345549672118207E-3</v>
      </c>
      <c r="CU53" s="46">
        <f t="shared" ca="1" si="94"/>
        <v>1.3618097007062995E-5</v>
      </c>
      <c r="CV53" s="70">
        <f t="shared" ca="1" si="60"/>
        <v>0</v>
      </c>
      <c r="CW53" s="71">
        <f t="shared" ca="1" si="61"/>
        <v>2.0345549672118207E-3</v>
      </c>
      <c r="CX53" s="59">
        <f t="shared" ca="1" si="62"/>
        <v>0</v>
      </c>
      <c r="CY53" s="60">
        <f t="shared" ca="1" si="63"/>
        <v>6</v>
      </c>
      <c r="CZ53" s="61">
        <f t="shared" ca="1" si="64"/>
        <v>59.6571</v>
      </c>
      <c r="DA53" s="6">
        <f t="shared" ca="1" si="65"/>
        <v>0.11657141280861491</v>
      </c>
      <c r="DB53" s="6">
        <f t="shared" si="66"/>
        <v>0.63276604640771628</v>
      </c>
      <c r="DC53" s="6">
        <f t="shared" si="67"/>
        <v>0</v>
      </c>
      <c r="DD53" s="6">
        <f t="shared" si="68"/>
        <v>0.63276604640771628</v>
      </c>
      <c r="DE53" s="60">
        <f t="shared" si="69"/>
        <v>36</v>
      </c>
      <c r="DF53" s="60">
        <f t="shared" si="70"/>
        <v>15</v>
      </c>
      <c r="DG53" s="61">
        <f t="shared" si="71"/>
        <v>17.366</v>
      </c>
      <c r="DH53" s="9">
        <f t="shared" si="72"/>
        <v>36.254823878341327</v>
      </c>
      <c r="DI53" s="66">
        <f t="shared" ca="1" si="73"/>
        <v>-3.001755103468895E-4</v>
      </c>
      <c r="DJ53" s="55">
        <f t="shared" si="74"/>
        <v>39</v>
      </c>
      <c r="DK53" s="6">
        <f t="shared" si="75"/>
        <v>-4.7912361870072265E-2</v>
      </c>
      <c r="DL53" s="6">
        <f t="shared" si="76"/>
        <v>6356863.0187730473</v>
      </c>
      <c r="DM53" s="6">
        <f t="shared" si="77"/>
        <v>6.7385254146834087E-3</v>
      </c>
      <c r="DN53" s="72">
        <f t="shared" ca="1" si="78"/>
        <v>6.7384975211760307E-3</v>
      </c>
      <c r="DO53" s="73">
        <f t="shared" ca="1" si="79"/>
        <v>6378245.0883603953</v>
      </c>
      <c r="DP53" s="6">
        <f t="shared" si="80"/>
        <v>1.0050517725429551</v>
      </c>
      <c r="DQ53" s="6">
        <f t="shared" si="81"/>
        <v>-2.5311877419908228E-3</v>
      </c>
      <c r="DR53" s="6">
        <f t="shared" si="82"/>
        <v>2.6558601241364054E-6</v>
      </c>
      <c r="DS53" s="6">
        <f t="shared" si="83"/>
        <v>-3.4165783147131439E-9</v>
      </c>
      <c r="DT53" s="6">
        <f t="shared" si="93"/>
        <v>7</v>
      </c>
      <c r="DU53" s="6">
        <f t="shared" si="93"/>
        <v>0</v>
      </c>
      <c r="DV53" s="6">
        <f t="shared" si="93"/>
        <v>500000</v>
      </c>
      <c r="DW53" s="6">
        <f t="shared" si="93"/>
        <v>1</v>
      </c>
      <c r="DX53" s="74">
        <f t="shared" ca="1" si="84"/>
        <v>12890.030428976437</v>
      </c>
      <c r="DY53" s="58">
        <f t="shared" ca="1" si="85"/>
        <v>-305713.93034284032</v>
      </c>
      <c r="DZ53" s="64">
        <f t="shared" ca="1" si="86"/>
        <v>12904.939659140397</v>
      </c>
      <c r="EA53" s="66">
        <f t="shared" ca="1" si="87"/>
        <v>7194286.06965716</v>
      </c>
    </row>
    <row r="54" spans="10:131" x14ac:dyDescent="0.25">
      <c r="Q54" s="81"/>
      <c r="R54" s="81"/>
      <c r="T54" s="53"/>
      <c r="U54" s="84"/>
      <c r="V54" s="84"/>
      <c r="W54" s="54"/>
      <c r="X54" s="55">
        <f t="shared" si="88"/>
        <v>1</v>
      </c>
      <c r="Y54" s="6">
        <f t="shared" si="88"/>
        <v>-12900</v>
      </c>
      <c r="Z54" s="6">
        <f t="shared" si="88"/>
        <v>250000</v>
      </c>
      <c r="AA54" s="6">
        <f t="shared" si="10"/>
        <v>0</v>
      </c>
      <c r="AB54" s="30">
        <f t="shared" si="8"/>
        <v>12900</v>
      </c>
      <c r="AC54" s="30">
        <f t="shared" si="9"/>
        <v>-250000</v>
      </c>
      <c r="AD54" s="6">
        <f t="shared" si="95"/>
        <v>38.5</v>
      </c>
      <c r="AE54" s="6">
        <f t="shared" si="95"/>
        <v>6378245</v>
      </c>
      <c r="AF54" s="6">
        <f t="shared" si="12"/>
        <v>6356863.0187730473</v>
      </c>
      <c r="AG54" s="6">
        <f t="shared" si="13"/>
        <v>3.352329869259135E-3</v>
      </c>
      <c r="AH54" s="8">
        <f t="shared" si="14"/>
        <v>6.6934216229658618E-3</v>
      </c>
      <c r="AI54" s="56">
        <f t="shared" si="15"/>
        <v>6.7385254146834087E-3</v>
      </c>
      <c r="AJ54" s="57">
        <f t="shared" si="16"/>
        <v>6378245.0883603953</v>
      </c>
      <c r="AK54" s="8">
        <f t="shared" si="17"/>
        <v>2.0361285582720838E-3</v>
      </c>
      <c r="AL54" s="8">
        <f t="shared" si="18"/>
        <v>6367558.4882606138</v>
      </c>
      <c r="AM54" s="8">
        <f t="shared" si="19"/>
        <v>16036.473376007938</v>
      </c>
      <c r="AN54" s="8">
        <f t="shared" si="20"/>
        <v>16.826341825445081</v>
      </c>
      <c r="AO54" s="8">
        <f t="shared" si="21"/>
        <v>2.1689203848674052E-2</v>
      </c>
      <c r="AP54" s="8">
        <f t="shared" si="22"/>
        <v>1.5704606433433228E-7</v>
      </c>
      <c r="AQ54" s="8">
        <f t="shared" si="23"/>
        <v>2.5184636976839014E-3</v>
      </c>
      <c r="AR54" s="8">
        <f t="shared" si="24"/>
        <v>3.70015534400603E-6</v>
      </c>
      <c r="AS54" s="8">
        <f t="shared" si="25"/>
        <v>7.4016654475384287E-9</v>
      </c>
      <c r="AT54" s="8">
        <f t="shared" si="26"/>
        <v>6378245.0884971283</v>
      </c>
      <c r="AU54" s="8">
        <f t="shared" si="27"/>
        <v>8.2088351658514316E-2</v>
      </c>
      <c r="AV54" s="8">
        <f t="shared" si="28"/>
        <v>2.0361313720839145E-3</v>
      </c>
      <c r="AW54" s="8">
        <f t="shared" si="29"/>
        <v>1.0067384974780118</v>
      </c>
      <c r="AX54" s="58">
        <f t="shared" si="30"/>
        <v>2.0345549675285794E-3</v>
      </c>
      <c r="AY54" s="59">
        <f t="shared" si="31"/>
        <v>0</v>
      </c>
      <c r="AZ54" s="60">
        <f t="shared" si="32"/>
        <v>6</v>
      </c>
      <c r="BA54" s="61">
        <f t="shared" si="33"/>
        <v>59.657086176349864</v>
      </c>
      <c r="BB54" s="56">
        <f t="shared" si="34"/>
        <v>0.11657141282676385</v>
      </c>
      <c r="BC54" s="56">
        <f t="shared" si="35"/>
        <v>-3.9185715631620689E-2</v>
      </c>
      <c r="BD54" s="56">
        <f t="shared" si="36"/>
        <v>0.63276604638619627</v>
      </c>
      <c r="BE54" s="56">
        <f t="shared" si="37"/>
        <v>36.254823877108315</v>
      </c>
      <c r="BF54" s="62">
        <f t="shared" si="38"/>
        <v>36</v>
      </c>
      <c r="BG54" s="60">
        <f t="shared" si="39"/>
        <v>15</v>
      </c>
      <c r="BH54" s="63">
        <f t="shared" si="40"/>
        <v>17.365957589933601</v>
      </c>
      <c r="BI54" s="64">
        <f t="shared" si="41"/>
        <v>5143373.1390186641</v>
      </c>
      <c r="BJ54" s="65">
        <f t="shared" si="42"/>
        <v>3771943.1014487948</v>
      </c>
      <c r="BK54" s="66">
        <f t="shared" si="43"/>
        <v>12890.021538123134</v>
      </c>
      <c r="BL54" s="55">
        <f t="shared" si="89"/>
        <v>23.92</v>
      </c>
      <c r="BM54" s="6">
        <f t="shared" si="89"/>
        <v>-141.27000000000001</v>
      </c>
      <c r="BN54" s="6">
        <f t="shared" si="89"/>
        <v>-80.900000000000006</v>
      </c>
      <c r="BO54" s="6">
        <f t="shared" si="89"/>
        <v>0</v>
      </c>
      <c r="BP54" s="6">
        <f t="shared" si="89"/>
        <v>-0.35</v>
      </c>
      <c r="BQ54" s="6">
        <f t="shared" si="89"/>
        <v>-0.82</v>
      </c>
      <c r="BR54" s="6">
        <f t="shared" si="90"/>
        <v>0</v>
      </c>
      <c r="BS54" s="6">
        <f t="shared" si="90"/>
        <v>-1.6968478838833759E-6</v>
      </c>
      <c r="BT54" s="6">
        <f t="shared" si="90"/>
        <v>-3.9754721850981945E-6</v>
      </c>
      <c r="BU54" s="67">
        <f t="shared" si="44"/>
        <v>-0.22</v>
      </c>
      <c r="BV54" s="59">
        <f t="shared" si="45"/>
        <v>5143380.9540973902</v>
      </c>
      <c r="BW54" s="60">
        <f t="shared" si="46"/>
        <v>3771821.4489536658</v>
      </c>
      <c r="BX54" s="68">
        <f t="shared" si="47"/>
        <v>12800.391182411484</v>
      </c>
      <c r="BY54" s="55">
        <f t="shared" si="91"/>
        <v>23.92</v>
      </c>
      <c r="BZ54" s="6">
        <f t="shared" si="91"/>
        <v>-141.27000000000001</v>
      </c>
      <c r="CA54" s="6">
        <f t="shared" si="91"/>
        <v>-80.900000000000006</v>
      </c>
      <c r="CB54" s="6">
        <f t="shared" si="91"/>
        <v>0</v>
      </c>
      <c r="CC54" s="6">
        <f t="shared" si="91"/>
        <v>-0.35</v>
      </c>
      <c r="CD54" s="6">
        <f t="shared" si="91"/>
        <v>-0.82</v>
      </c>
      <c r="CE54" s="6">
        <f t="shared" si="92"/>
        <v>0</v>
      </c>
      <c r="CF54" s="6">
        <f t="shared" si="92"/>
        <v>-1.6968478838833759E-6</v>
      </c>
      <c r="CG54" s="6">
        <f t="shared" si="92"/>
        <v>-3.9754721850981945E-6</v>
      </c>
      <c r="CH54" s="67">
        <f t="shared" si="48"/>
        <v>-0.22</v>
      </c>
      <c r="CI54" s="64">
        <f t="shared" si="49"/>
        <v>5143373.1386954347</v>
      </c>
      <c r="CJ54" s="65">
        <f t="shared" si="50"/>
        <v>3771943.1013819654</v>
      </c>
      <c r="CK54" s="66">
        <f t="shared" si="51"/>
        <v>12890.021535505568</v>
      </c>
      <c r="CL54" s="69">
        <f t="shared" si="52"/>
        <v>6378231.8869665386</v>
      </c>
      <c r="CM54" s="6">
        <f t="shared" si="96"/>
        <v>6378245</v>
      </c>
      <c r="CN54" s="6">
        <f t="shared" si="96"/>
        <v>3.352329869259135E-3</v>
      </c>
      <c r="CO54" s="9">
        <f t="shared" si="54"/>
        <v>6.6934216229659433E-3</v>
      </c>
      <c r="CP54" s="9">
        <f t="shared" si="55"/>
        <v>6378244.911930861</v>
      </c>
      <c r="CQ54" s="9">
        <f t="shared" si="56"/>
        <v>2.0209368702047577E-3</v>
      </c>
      <c r="CR54" s="9">
        <f t="shared" si="57"/>
        <v>3.3467108576934797E-3</v>
      </c>
      <c r="CS54" s="9">
        <f t="shared" ca="1" si="58"/>
        <v>1.3618097007062995E-5</v>
      </c>
      <c r="CT54" s="9">
        <f t="shared" ca="1" si="59"/>
        <v>2.0345549672118207E-3</v>
      </c>
      <c r="CU54" s="46">
        <f t="shared" ca="1" si="94"/>
        <v>1.3618097007062995E-5</v>
      </c>
      <c r="CV54" s="70">
        <f t="shared" ca="1" si="60"/>
        <v>0</v>
      </c>
      <c r="CW54" s="71">
        <f t="shared" ca="1" si="61"/>
        <v>2.0345549672118207E-3</v>
      </c>
      <c r="CX54" s="59">
        <f t="shared" ca="1" si="62"/>
        <v>0</v>
      </c>
      <c r="CY54" s="60">
        <f t="shared" ca="1" si="63"/>
        <v>6</v>
      </c>
      <c r="CZ54" s="61">
        <f t="shared" ca="1" si="64"/>
        <v>59.6571</v>
      </c>
      <c r="DA54" s="9">
        <f t="shared" ca="1" si="65"/>
        <v>0.11657141280861491</v>
      </c>
      <c r="DB54" s="9">
        <f t="shared" si="66"/>
        <v>0.63276604640771628</v>
      </c>
      <c r="DC54" s="9">
        <f t="shared" si="67"/>
        <v>0</v>
      </c>
      <c r="DD54" s="9">
        <f t="shared" si="68"/>
        <v>0.63276604640771628</v>
      </c>
      <c r="DE54" s="60">
        <f t="shared" si="69"/>
        <v>36</v>
      </c>
      <c r="DF54" s="60">
        <f t="shared" si="70"/>
        <v>15</v>
      </c>
      <c r="DG54" s="61">
        <f t="shared" si="71"/>
        <v>17.366</v>
      </c>
      <c r="DH54" s="9">
        <f t="shared" si="72"/>
        <v>36.254823878341327</v>
      </c>
      <c r="DI54" s="66">
        <f t="shared" ca="1" si="73"/>
        <v>-3.001755103468895E-4</v>
      </c>
      <c r="DJ54" s="55">
        <f t="shared" si="74"/>
        <v>39</v>
      </c>
      <c r="DK54" s="6">
        <f t="shared" si="75"/>
        <v>-4.7912361870072265E-2</v>
      </c>
      <c r="DL54" s="6">
        <f t="shared" si="76"/>
        <v>6356863.0187730473</v>
      </c>
      <c r="DM54" s="6">
        <f t="shared" si="77"/>
        <v>6.7385254146834087E-3</v>
      </c>
      <c r="DN54" s="72">
        <f t="shared" ca="1" si="78"/>
        <v>6.7384975211760307E-3</v>
      </c>
      <c r="DO54" s="73">
        <f t="shared" ca="1" si="79"/>
        <v>6378245.0883603953</v>
      </c>
      <c r="DP54" s="6">
        <f t="shared" si="80"/>
        <v>1.0050517725429551</v>
      </c>
      <c r="DQ54" s="6">
        <f t="shared" si="81"/>
        <v>-2.5311877419908228E-3</v>
      </c>
      <c r="DR54" s="6">
        <f t="shared" si="82"/>
        <v>2.6558601241364054E-6</v>
      </c>
      <c r="DS54" s="6">
        <f t="shared" si="83"/>
        <v>-3.4165783147131439E-9</v>
      </c>
      <c r="DT54" s="6">
        <f t="shared" si="93"/>
        <v>7</v>
      </c>
      <c r="DU54" s="6">
        <f t="shared" si="93"/>
        <v>0</v>
      </c>
      <c r="DV54" s="6">
        <f t="shared" si="93"/>
        <v>500000</v>
      </c>
      <c r="DW54" s="6">
        <f t="shared" si="93"/>
        <v>1</v>
      </c>
      <c r="DX54" s="74">
        <f t="shared" ca="1" si="84"/>
        <v>12890.030428976437</v>
      </c>
      <c r="DY54" s="58">
        <f t="shared" ca="1" si="85"/>
        <v>-305713.93034284032</v>
      </c>
      <c r="DZ54" s="64">
        <f t="shared" ca="1" si="86"/>
        <v>12904.939659140397</v>
      </c>
      <c r="EA54" s="66">
        <f t="shared" ca="1" si="87"/>
        <v>7194286.06965716</v>
      </c>
    </row>
    <row r="55" spans="10:131" x14ac:dyDescent="0.25">
      <c r="Q55" s="81"/>
      <c r="R55" s="81"/>
      <c r="T55" s="53"/>
      <c r="U55" s="84"/>
      <c r="V55" s="84"/>
      <c r="W55" s="54"/>
      <c r="X55" s="55">
        <f t="shared" si="88"/>
        <v>1</v>
      </c>
      <c r="Y55" s="6">
        <f t="shared" si="88"/>
        <v>-12900</v>
      </c>
      <c r="Z55" s="6">
        <f t="shared" si="88"/>
        <v>250000</v>
      </c>
      <c r="AA55" s="6">
        <f t="shared" si="10"/>
        <v>0</v>
      </c>
      <c r="AB55" s="30">
        <f t="shared" si="8"/>
        <v>12900</v>
      </c>
      <c r="AC55" s="30">
        <f t="shared" si="9"/>
        <v>-250000</v>
      </c>
      <c r="AD55" s="6">
        <f t="shared" si="95"/>
        <v>38.5</v>
      </c>
      <c r="AE55" s="6">
        <f t="shared" si="95"/>
        <v>6378245</v>
      </c>
      <c r="AF55" s="6">
        <f t="shared" si="12"/>
        <v>6356863.0187730473</v>
      </c>
      <c r="AG55" s="6">
        <f t="shared" si="13"/>
        <v>3.352329869259135E-3</v>
      </c>
      <c r="AH55" s="8">
        <f t="shared" si="14"/>
        <v>6.6934216229658618E-3</v>
      </c>
      <c r="AI55" s="56">
        <f t="shared" si="15"/>
        <v>6.7385254146834087E-3</v>
      </c>
      <c r="AJ55" s="57">
        <f t="shared" si="16"/>
        <v>6378245.0883603953</v>
      </c>
      <c r="AK55" s="8">
        <f t="shared" si="17"/>
        <v>2.0361285582720838E-3</v>
      </c>
      <c r="AL55" s="8">
        <f t="shared" si="18"/>
        <v>6367558.4882606138</v>
      </c>
      <c r="AM55" s="8">
        <f t="shared" si="19"/>
        <v>16036.473376007938</v>
      </c>
      <c r="AN55" s="8">
        <f t="shared" si="20"/>
        <v>16.826341825445081</v>
      </c>
      <c r="AO55" s="8">
        <f t="shared" si="21"/>
        <v>2.1689203848674052E-2</v>
      </c>
      <c r="AP55" s="8">
        <f t="shared" si="22"/>
        <v>1.5704606433433228E-7</v>
      </c>
      <c r="AQ55" s="8">
        <f t="shared" si="23"/>
        <v>2.5184636976839014E-3</v>
      </c>
      <c r="AR55" s="8">
        <f t="shared" si="24"/>
        <v>3.70015534400603E-6</v>
      </c>
      <c r="AS55" s="8">
        <f t="shared" si="25"/>
        <v>7.4016654475384287E-9</v>
      </c>
      <c r="AT55" s="8">
        <f t="shared" si="26"/>
        <v>6378245.0884971283</v>
      </c>
      <c r="AU55" s="8">
        <f t="shared" si="27"/>
        <v>8.2088351658514316E-2</v>
      </c>
      <c r="AV55" s="8">
        <f t="shared" si="28"/>
        <v>2.0361313720839145E-3</v>
      </c>
      <c r="AW55" s="8">
        <f t="shared" si="29"/>
        <v>1.0067384974780118</v>
      </c>
      <c r="AX55" s="58">
        <f t="shared" si="30"/>
        <v>2.0345549675285794E-3</v>
      </c>
      <c r="AY55" s="59">
        <f t="shared" si="31"/>
        <v>0</v>
      </c>
      <c r="AZ55" s="60">
        <f t="shared" si="32"/>
        <v>6</v>
      </c>
      <c r="BA55" s="61">
        <f t="shared" si="33"/>
        <v>59.657086176349864</v>
      </c>
      <c r="BB55" s="56">
        <f t="shared" si="34"/>
        <v>0.11657141282676385</v>
      </c>
      <c r="BC55" s="56">
        <f t="shared" si="35"/>
        <v>-3.9185715631620689E-2</v>
      </c>
      <c r="BD55" s="56">
        <f t="shared" si="36"/>
        <v>0.63276604638619627</v>
      </c>
      <c r="BE55" s="56">
        <f t="shared" si="37"/>
        <v>36.254823877108315</v>
      </c>
      <c r="BF55" s="62">
        <f t="shared" si="38"/>
        <v>36</v>
      </c>
      <c r="BG55" s="60">
        <f t="shared" si="39"/>
        <v>15</v>
      </c>
      <c r="BH55" s="63">
        <f t="shared" si="40"/>
        <v>17.365957589933601</v>
      </c>
      <c r="BI55" s="64">
        <f t="shared" si="41"/>
        <v>5143373.1390186641</v>
      </c>
      <c r="BJ55" s="65">
        <f t="shared" si="42"/>
        <v>3771943.1014487948</v>
      </c>
      <c r="BK55" s="66">
        <f t="shared" si="43"/>
        <v>12890.021538123134</v>
      </c>
      <c r="BL55" s="55">
        <f t="shared" si="89"/>
        <v>23.92</v>
      </c>
      <c r="BM55" s="6">
        <f t="shared" si="89"/>
        <v>-141.27000000000001</v>
      </c>
      <c r="BN55" s="6">
        <f t="shared" si="89"/>
        <v>-80.900000000000006</v>
      </c>
      <c r="BO55" s="6">
        <f t="shared" si="89"/>
        <v>0</v>
      </c>
      <c r="BP55" s="6">
        <f t="shared" si="89"/>
        <v>-0.35</v>
      </c>
      <c r="BQ55" s="6">
        <f t="shared" si="89"/>
        <v>-0.82</v>
      </c>
      <c r="BR55" s="6">
        <f t="shared" si="90"/>
        <v>0</v>
      </c>
      <c r="BS55" s="6">
        <f t="shared" si="90"/>
        <v>-1.6968478838833759E-6</v>
      </c>
      <c r="BT55" s="6">
        <f t="shared" si="90"/>
        <v>-3.9754721850981945E-6</v>
      </c>
      <c r="BU55" s="67">
        <f t="shared" si="44"/>
        <v>-0.22</v>
      </c>
      <c r="BV55" s="59">
        <f t="shared" si="45"/>
        <v>5143380.9540973902</v>
      </c>
      <c r="BW55" s="60">
        <f t="shared" si="46"/>
        <v>3771821.4489536658</v>
      </c>
      <c r="BX55" s="68">
        <f t="shared" si="47"/>
        <v>12800.391182411484</v>
      </c>
      <c r="BY55" s="55">
        <f t="shared" si="91"/>
        <v>23.92</v>
      </c>
      <c r="BZ55" s="6">
        <f t="shared" si="91"/>
        <v>-141.27000000000001</v>
      </c>
      <c r="CA55" s="6">
        <f t="shared" si="91"/>
        <v>-80.900000000000006</v>
      </c>
      <c r="CB55" s="6">
        <f t="shared" si="91"/>
        <v>0</v>
      </c>
      <c r="CC55" s="6">
        <f t="shared" si="91"/>
        <v>-0.35</v>
      </c>
      <c r="CD55" s="6">
        <f t="shared" si="91"/>
        <v>-0.82</v>
      </c>
      <c r="CE55" s="6">
        <f t="shared" si="92"/>
        <v>0</v>
      </c>
      <c r="CF55" s="6">
        <f t="shared" si="92"/>
        <v>-1.6968478838833759E-6</v>
      </c>
      <c r="CG55" s="6">
        <f t="shared" si="92"/>
        <v>-3.9754721850981945E-6</v>
      </c>
      <c r="CH55" s="67">
        <f t="shared" si="48"/>
        <v>-0.22</v>
      </c>
      <c r="CI55" s="64">
        <f t="shared" si="49"/>
        <v>5143373.1386954347</v>
      </c>
      <c r="CJ55" s="65">
        <f t="shared" si="50"/>
        <v>3771943.1013819654</v>
      </c>
      <c r="CK55" s="66">
        <f t="shared" si="51"/>
        <v>12890.021535505568</v>
      </c>
      <c r="CL55" s="69">
        <f t="shared" si="52"/>
        <v>6378231.8869665386</v>
      </c>
      <c r="CM55" s="6">
        <f t="shared" si="96"/>
        <v>6378245</v>
      </c>
      <c r="CN55" s="6">
        <f t="shared" si="96"/>
        <v>3.352329869259135E-3</v>
      </c>
      <c r="CO55" s="9">
        <f t="shared" si="54"/>
        <v>6.6934216229659433E-3</v>
      </c>
      <c r="CP55" s="9">
        <f t="shared" si="55"/>
        <v>6378244.911930861</v>
      </c>
      <c r="CQ55" s="9">
        <f t="shared" si="56"/>
        <v>2.0209368702047577E-3</v>
      </c>
      <c r="CR55" s="9">
        <f t="shared" si="57"/>
        <v>3.3467108576934797E-3</v>
      </c>
      <c r="CS55" s="9">
        <f t="shared" ca="1" si="58"/>
        <v>1.3618097007062995E-5</v>
      </c>
      <c r="CT55" s="9">
        <f t="shared" ca="1" si="59"/>
        <v>2.0345549672118207E-3</v>
      </c>
      <c r="CU55" s="46">
        <f t="shared" ca="1" si="94"/>
        <v>1.3618097007062995E-5</v>
      </c>
      <c r="CV55" s="70">
        <f t="shared" ca="1" si="60"/>
        <v>0</v>
      </c>
      <c r="CW55" s="71">
        <f t="shared" ca="1" si="61"/>
        <v>2.0345549672118207E-3</v>
      </c>
      <c r="CX55" s="59">
        <f t="shared" ca="1" si="62"/>
        <v>0</v>
      </c>
      <c r="CY55" s="60">
        <f t="shared" ca="1" si="63"/>
        <v>6</v>
      </c>
      <c r="CZ55" s="61">
        <f t="shared" ca="1" si="64"/>
        <v>59.6571</v>
      </c>
      <c r="DA55" s="9">
        <f t="shared" ca="1" si="65"/>
        <v>0.11657141280861491</v>
      </c>
      <c r="DB55" s="9">
        <f t="shared" si="66"/>
        <v>0.63276604640771628</v>
      </c>
      <c r="DC55" s="9">
        <f t="shared" si="67"/>
        <v>0</v>
      </c>
      <c r="DD55" s="9">
        <f t="shared" si="68"/>
        <v>0.63276604640771628</v>
      </c>
      <c r="DE55" s="60">
        <f t="shared" si="69"/>
        <v>36</v>
      </c>
      <c r="DF55" s="60">
        <f t="shared" si="70"/>
        <v>15</v>
      </c>
      <c r="DG55" s="61">
        <f t="shared" si="71"/>
        <v>17.366</v>
      </c>
      <c r="DH55" s="9">
        <f t="shared" si="72"/>
        <v>36.254823878341327</v>
      </c>
      <c r="DI55" s="66">
        <f t="shared" ca="1" si="73"/>
        <v>-3.001755103468895E-4</v>
      </c>
      <c r="DJ55" s="55">
        <f t="shared" si="74"/>
        <v>39</v>
      </c>
      <c r="DK55" s="6">
        <f t="shared" si="75"/>
        <v>-4.7912361870072265E-2</v>
      </c>
      <c r="DL55" s="6">
        <f t="shared" si="76"/>
        <v>6356863.0187730473</v>
      </c>
      <c r="DM55" s="6">
        <f t="shared" si="77"/>
        <v>6.7385254146834087E-3</v>
      </c>
      <c r="DN55" s="72">
        <f t="shared" ca="1" si="78"/>
        <v>6.7384975211760307E-3</v>
      </c>
      <c r="DO55" s="73">
        <f t="shared" ca="1" si="79"/>
        <v>6378245.0883603953</v>
      </c>
      <c r="DP55" s="6">
        <f t="shared" si="80"/>
        <v>1.0050517725429551</v>
      </c>
      <c r="DQ55" s="6">
        <f t="shared" si="81"/>
        <v>-2.5311877419908228E-3</v>
      </c>
      <c r="DR55" s="6">
        <f t="shared" si="82"/>
        <v>2.6558601241364054E-6</v>
      </c>
      <c r="DS55" s="6">
        <f t="shared" si="83"/>
        <v>-3.4165783147131439E-9</v>
      </c>
      <c r="DT55" s="6">
        <f t="shared" si="93"/>
        <v>7</v>
      </c>
      <c r="DU55" s="6">
        <f t="shared" si="93"/>
        <v>0</v>
      </c>
      <c r="DV55" s="6">
        <f t="shared" si="93"/>
        <v>500000</v>
      </c>
      <c r="DW55" s="6">
        <f t="shared" si="93"/>
        <v>1</v>
      </c>
      <c r="DX55" s="74">
        <f t="shared" ca="1" si="84"/>
        <v>12890.030428976437</v>
      </c>
      <c r="DY55" s="58">
        <f t="shared" ca="1" si="85"/>
        <v>-305713.93034284032</v>
      </c>
      <c r="DZ55" s="64">
        <f t="shared" ca="1" si="86"/>
        <v>12904.939659140397</v>
      </c>
      <c r="EA55" s="66">
        <f t="shared" ca="1" si="87"/>
        <v>7194286.06965716</v>
      </c>
    </row>
    <row r="56" spans="10:131" x14ac:dyDescent="0.25">
      <c r="Q56" s="81"/>
      <c r="R56" s="81"/>
      <c r="T56" s="53"/>
      <c r="U56" s="84"/>
      <c r="V56" s="84"/>
      <c r="W56" s="54"/>
      <c r="X56" s="55">
        <f t="shared" si="88"/>
        <v>1</v>
      </c>
      <c r="Y56" s="6">
        <f t="shared" si="88"/>
        <v>-12900</v>
      </c>
      <c r="Z56" s="6">
        <f t="shared" si="88"/>
        <v>250000</v>
      </c>
      <c r="AA56" s="6">
        <f t="shared" si="10"/>
        <v>0</v>
      </c>
      <c r="AB56" s="30">
        <f t="shared" si="8"/>
        <v>12900</v>
      </c>
      <c r="AC56" s="30">
        <f t="shared" si="9"/>
        <v>-250000</v>
      </c>
      <c r="AD56" s="6">
        <f t="shared" si="95"/>
        <v>38.5</v>
      </c>
      <c r="AE56" s="6">
        <f t="shared" si="95"/>
        <v>6378245</v>
      </c>
      <c r="AF56" s="6">
        <f t="shared" si="12"/>
        <v>6356863.0187730473</v>
      </c>
      <c r="AG56" s="6">
        <f t="shared" si="13"/>
        <v>3.352329869259135E-3</v>
      </c>
      <c r="AH56" s="8">
        <f t="shared" si="14"/>
        <v>6.6934216229658618E-3</v>
      </c>
      <c r="AI56" s="56">
        <f t="shared" si="15"/>
        <v>6.7385254146834087E-3</v>
      </c>
      <c r="AJ56" s="57">
        <f t="shared" si="16"/>
        <v>6378245.0883603953</v>
      </c>
      <c r="AK56" s="8">
        <f t="shared" si="17"/>
        <v>2.0361285582720838E-3</v>
      </c>
      <c r="AL56" s="8">
        <f t="shared" si="18"/>
        <v>6367558.4882606138</v>
      </c>
      <c r="AM56" s="8">
        <f t="shared" si="19"/>
        <v>16036.473376007938</v>
      </c>
      <c r="AN56" s="8">
        <f t="shared" si="20"/>
        <v>16.826341825445081</v>
      </c>
      <c r="AO56" s="8">
        <f t="shared" si="21"/>
        <v>2.1689203848674052E-2</v>
      </c>
      <c r="AP56" s="8">
        <f t="shared" si="22"/>
        <v>1.5704606433433228E-7</v>
      </c>
      <c r="AQ56" s="8">
        <f t="shared" si="23"/>
        <v>2.5184636976839014E-3</v>
      </c>
      <c r="AR56" s="8">
        <f t="shared" si="24"/>
        <v>3.70015534400603E-6</v>
      </c>
      <c r="AS56" s="8">
        <f t="shared" si="25"/>
        <v>7.4016654475384287E-9</v>
      </c>
      <c r="AT56" s="8">
        <f t="shared" si="26"/>
        <v>6378245.0884971283</v>
      </c>
      <c r="AU56" s="8">
        <f t="shared" si="27"/>
        <v>8.2088351658514316E-2</v>
      </c>
      <c r="AV56" s="8">
        <f t="shared" si="28"/>
        <v>2.0361313720839145E-3</v>
      </c>
      <c r="AW56" s="8">
        <f t="shared" si="29"/>
        <v>1.0067384974780118</v>
      </c>
      <c r="AX56" s="58">
        <f t="shared" si="30"/>
        <v>2.0345549675285794E-3</v>
      </c>
      <c r="AY56" s="59">
        <f t="shared" si="31"/>
        <v>0</v>
      </c>
      <c r="AZ56" s="60">
        <f t="shared" si="32"/>
        <v>6</v>
      </c>
      <c r="BA56" s="61">
        <f t="shared" si="33"/>
        <v>59.657086176349864</v>
      </c>
      <c r="BB56" s="56">
        <f t="shared" si="34"/>
        <v>0.11657141282676385</v>
      </c>
      <c r="BC56" s="56">
        <f t="shared" si="35"/>
        <v>-3.9185715631620689E-2</v>
      </c>
      <c r="BD56" s="56">
        <f t="shared" si="36"/>
        <v>0.63276604638619627</v>
      </c>
      <c r="BE56" s="56">
        <f t="shared" si="37"/>
        <v>36.254823877108315</v>
      </c>
      <c r="BF56" s="62">
        <f t="shared" si="38"/>
        <v>36</v>
      </c>
      <c r="BG56" s="60">
        <f t="shared" si="39"/>
        <v>15</v>
      </c>
      <c r="BH56" s="63">
        <f t="shared" si="40"/>
        <v>17.365957589933601</v>
      </c>
      <c r="BI56" s="64">
        <f t="shared" si="41"/>
        <v>5143373.1390186641</v>
      </c>
      <c r="BJ56" s="65">
        <f t="shared" si="42"/>
        <v>3771943.1014487948</v>
      </c>
      <c r="BK56" s="66">
        <f t="shared" si="43"/>
        <v>12890.021538123134</v>
      </c>
      <c r="BL56" s="55">
        <f t="shared" si="89"/>
        <v>23.92</v>
      </c>
      <c r="BM56" s="6">
        <f t="shared" si="89"/>
        <v>-141.27000000000001</v>
      </c>
      <c r="BN56" s="6">
        <f t="shared" si="89"/>
        <v>-80.900000000000006</v>
      </c>
      <c r="BO56" s="6">
        <f t="shared" si="89"/>
        <v>0</v>
      </c>
      <c r="BP56" s="6">
        <f t="shared" si="89"/>
        <v>-0.35</v>
      </c>
      <c r="BQ56" s="6">
        <f t="shared" si="89"/>
        <v>-0.82</v>
      </c>
      <c r="BR56" s="6">
        <f t="shared" si="90"/>
        <v>0</v>
      </c>
      <c r="BS56" s="6">
        <f t="shared" si="90"/>
        <v>-1.6968478838833759E-6</v>
      </c>
      <c r="BT56" s="6">
        <f t="shared" si="90"/>
        <v>-3.9754721850981945E-6</v>
      </c>
      <c r="BU56" s="67">
        <f t="shared" si="44"/>
        <v>-0.22</v>
      </c>
      <c r="BV56" s="59">
        <f t="shared" si="45"/>
        <v>5143380.9540973902</v>
      </c>
      <c r="BW56" s="60">
        <f t="shared" si="46"/>
        <v>3771821.4489536658</v>
      </c>
      <c r="BX56" s="68">
        <f t="shared" si="47"/>
        <v>12800.391182411484</v>
      </c>
      <c r="BY56" s="55">
        <f t="shared" si="91"/>
        <v>23.92</v>
      </c>
      <c r="BZ56" s="6">
        <f t="shared" si="91"/>
        <v>-141.27000000000001</v>
      </c>
      <c r="CA56" s="6">
        <f t="shared" si="91"/>
        <v>-80.900000000000006</v>
      </c>
      <c r="CB56" s="6">
        <f t="shared" si="91"/>
        <v>0</v>
      </c>
      <c r="CC56" s="6">
        <f t="shared" si="91"/>
        <v>-0.35</v>
      </c>
      <c r="CD56" s="6">
        <f t="shared" si="91"/>
        <v>-0.82</v>
      </c>
      <c r="CE56" s="6">
        <f t="shared" si="92"/>
        <v>0</v>
      </c>
      <c r="CF56" s="6">
        <f t="shared" si="92"/>
        <v>-1.6968478838833759E-6</v>
      </c>
      <c r="CG56" s="6">
        <f t="shared" si="92"/>
        <v>-3.9754721850981945E-6</v>
      </c>
      <c r="CH56" s="67">
        <f t="shared" si="48"/>
        <v>-0.22</v>
      </c>
      <c r="CI56" s="64">
        <f t="shared" si="49"/>
        <v>5143373.1386954347</v>
      </c>
      <c r="CJ56" s="65">
        <f t="shared" si="50"/>
        <v>3771943.1013819654</v>
      </c>
      <c r="CK56" s="66">
        <f t="shared" si="51"/>
        <v>12890.021535505568</v>
      </c>
      <c r="CL56" s="69">
        <f t="shared" si="52"/>
        <v>6378231.8869665386</v>
      </c>
      <c r="CM56" s="6">
        <f t="shared" si="96"/>
        <v>6378245</v>
      </c>
      <c r="CN56" s="6">
        <f t="shared" si="96"/>
        <v>3.352329869259135E-3</v>
      </c>
      <c r="CO56" s="9">
        <f t="shared" si="54"/>
        <v>6.6934216229659433E-3</v>
      </c>
      <c r="CP56" s="9">
        <f t="shared" si="55"/>
        <v>6378244.911930861</v>
      </c>
      <c r="CQ56" s="9">
        <f t="shared" si="56"/>
        <v>2.0209368702047577E-3</v>
      </c>
      <c r="CR56" s="9">
        <f t="shared" si="57"/>
        <v>3.3467108576934797E-3</v>
      </c>
      <c r="CS56" s="9">
        <f t="shared" ca="1" si="58"/>
        <v>1.3618097007062995E-5</v>
      </c>
      <c r="CT56" s="9">
        <f t="shared" ca="1" si="59"/>
        <v>2.0345549672118207E-3</v>
      </c>
      <c r="CU56" s="46">
        <f t="shared" ca="1" si="94"/>
        <v>1.3618097007062995E-5</v>
      </c>
      <c r="CV56" s="70">
        <f t="shared" ca="1" si="60"/>
        <v>0</v>
      </c>
      <c r="CW56" s="71">
        <f t="shared" ca="1" si="61"/>
        <v>2.0345549672118207E-3</v>
      </c>
      <c r="CX56" s="59">
        <f t="shared" ca="1" si="62"/>
        <v>0</v>
      </c>
      <c r="CY56" s="60">
        <f t="shared" ca="1" si="63"/>
        <v>6</v>
      </c>
      <c r="CZ56" s="61">
        <f t="shared" ca="1" si="64"/>
        <v>59.6571</v>
      </c>
      <c r="DA56" s="9">
        <f t="shared" ca="1" si="65"/>
        <v>0.11657141280861491</v>
      </c>
      <c r="DB56" s="9">
        <f t="shared" si="66"/>
        <v>0.63276604640771628</v>
      </c>
      <c r="DC56" s="9">
        <f t="shared" si="67"/>
        <v>0</v>
      </c>
      <c r="DD56" s="9">
        <f t="shared" si="68"/>
        <v>0.63276604640771628</v>
      </c>
      <c r="DE56" s="60">
        <f t="shared" si="69"/>
        <v>36</v>
      </c>
      <c r="DF56" s="60">
        <f t="shared" si="70"/>
        <v>15</v>
      </c>
      <c r="DG56" s="61">
        <f t="shared" si="71"/>
        <v>17.366</v>
      </c>
      <c r="DH56" s="9">
        <f t="shared" si="72"/>
        <v>36.254823878341327</v>
      </c>
      <c r="DI56" s="66">
        <f t="shared" ca="1" si="73"/>
        <v>-3.001755103468895E-4</v>
      </c>
      <c r="DJ56" s="55">
        <f t="shared" si="74"/>
        <v>39</v>
      </c>
      <c r="DK56" s="6">
        <f t="shared" si="75"/>
        <v>-4.7912361870072265E-2</v>
      </c>
      <c r="DL56" s="6">
        <f t="shared" si="76"/>
        <v>6356863.0187730473</v>
      </c>
      <c r="DM56" s="6">
        <f t="shared" si="77"/>
        <v>6.7385254146834087E-3</v>
      </c>
      <c r="DN56" s="72">
        <f t="shared" ca="1" si="78"/>
        <v>6.7384975211760307E-3</v>
      </c>
      <c r="DO56" s="73">
        <f t="shared" ca="1" si="79"/>
        <v>6378245.0883603953</v>
      </c>
      <c r="DP56" s="6">
        <f t="shared" si="80"/>
        <v>1.0050517725429551</v>
      </c>
      <c r="DQ56" s="6">
        <f t="shared" si="81"/>
        <v>-2.5311877419908228E-3</v>
      </c>
      <c r="DR56" s="6">
        <f t="shared" si="82"/>
        <v>2.6558601241364054E-6</v>
      </c>
      <c r="DS56" s="6">
        <f t="shared" si="83"/>
        <v>-3.4165783147131439E-9</v>
      </c>
      <c r="DT56" s="6">
        <f t="shared" si="93"/>
        <v>7</v>
      </c>
      <c r="DU56" s="6">
        <f t="shared" si="93"/>
        <v>0</v>
      </c>
      <c r="DV56" s="6">
        <f t="shared" si="93"/>
        <v>500000</v>
      </c>
      <c r="DW56" s="6">
        <f t="shared" si="93"/>
        <v>1</v>
      </c>
      <c r="DX56" s="74">
        <f t="shared" ca="1" si="84"/>
        <v>12890.030428976437</v>
      </c>
      <c r="DY56" s="58">
        <f t="shared" ca="1" si="85"/>
        <v>-305713.93034284032</v>
      </c>
      <c r="DZ56" s="64">
        <f t="shared" ca="1" si="86"/>
        <v>12904.939659140397</v>
      </c>
      <c r="EA56" s="66">
        <f t="shared" ca="1" si="87"/>
        <v>7194286.06965716</v>
      </c>
    </row>
    <row r="57" spans="10:131" x14ac:dyDescent="0.25">
      <c r="Q57" s="81"/>
      <c r="R57" s="81"/>
      <c r="T57" s="53"/>
      <c r="U57" s="84"/>
      <c r="V57" s="84"/>
      <c r="W57" s="54"/>
      <c r="X57" s="55">
        <f t="shared" si="88"/>
        <v>1</v>
      </c>
      <c r="Y57" s="6">
        <f t="shared" si="88"/>
        <v>-12900</v>
      </c>
      <c r="Z57" s="6">
        <f t="shared" si="88"/>
        <v>250000</v>
      </c>
      <c r="AA57" s="6">
        <f t="shared" si="10"/>
        <v>0</v>
      </c>
      <c r="AB57" s="30">
        <f t="shared" si="8"/>
        <v>12900</v>
      </c>
      <c r="AC57" s="30">
        <f t="shared" si="9"/>
        <v>-250000</v>
      </c>
      <c r="AD57" s="6">
        <f t="shared" si="95"/>
        <v>38.5</v>
      </c>
      <c r="AE57" s="6">
        <f t="shared" si="95"/>
        <v>6378245</v>
      </c>
      <c r="AF57" s="6">
        <f t="shared" si="12"/>
        <v>6356863.0187730473</v>
      </c>
      <c r="AG57" s="6">
        <f t="shared" si="13"/>
        <v>3.352329869259135E-3</v>
      </c>
      <c r="AH57" s="8">
        <f t="shared" si="14"/>
        <v>6.6934216229658618E-3</v>
      </c>
      <c r="AI57" s="56">
        <f t="shared" si="15"/>
        <v>6.7385254146834087E-3</v>
      </c>
      <c r="AJ57" s="57">
        <f t="shared" si="16"/>
        <v>6378245.0883603953</v>
      </c>
      <c r="AK57" s="8">
        <f t="shared" si="17"/>
        <v>2.0361285582720838E-3</v>
      </c>
      <c r="AL57" s="8">
        <f t="shared" si="18"/>
        <v>6367558.4882606138</v>
      </c>
      <c r="AM57" s="8">
        <f t="shared" si="19"/>
        <v>16036.473376007938</v>
      </c>
      <c r="AN57" s="8">
        <f t="shared" si="20"/>
        <v>16.826341825445081</v>
      </c>
      <c r="AO57" s="8">
        <f t="shared" si="21"/>
        <v>2.1689203848674052E-2</v>
      </c>
      <c r="AP57" s="8">
        <f t="shared" si="22"/>
        <v>1.5704606433433228E-7</v>
      </c>
      <c r="AQ57" s="8">
        <f t="shared" si="23"/>
        <v>2.5184636976839014E-3</v>
      </c>
      <c r="AR57" s="8">
        <f t="shared" si="24"/>
        <v>3.70015534400603E-6</v>
      </c>
      <c r="AS57" s="8">
        <f t="shared" si="25"/>
        <v>7.4016654475384287E-9</v>
      </c>
      <c r="AT57" s="8">
        <f t="shared" si="26"/>
        <v>6378245.0884971283</v>
      </c>
      <c r="AU57" s="8">
        <f t="shared" si="27"/>
        <v>8.2088351658514316E-2</v>
      </c>
      <c r="AV57" s="8">
        <f t="shared" si="28"/>
        <v>2.0361313720839145E-3</v>
      </c>
      <c r="AW57" s="8">
        <f t="shared" si="29"/>
        <v>1.0067384974780118</v>
      </c>
      <c r="AX57" s="58">
        <f t="shared" si="30"/>
        <v>2.0345549675285794E-3</v>
      </c>
      <c r="AY57" s="59">
        <f t="shared" si="31"/>
        <v>0</v>
      </c>
      <c r="AZ57" s="60">
        <f t="shared" si="32"/>
        <v>6</v>
      </c>
      <c r="BA57" s="61">
        <f t="shared" si="33"/>
        <v>59.657086176349864</v>
      </c>
      <c r="BB57" s="56">
        <f t="shared" si="34"/>
        <v>0.11657141282676385</v>
      </c>
      <c r="BC57" s="56">
        <f t="shared" si="35"/>
        <v>-3.9185715631620689E-2</v>
      </c>
      <c r="BD57" s="56">
        <f t="shared" si="36"/>
        <v>0.63276604638619627</v>
      </c>
      <c r="BE57" s="56">
        <f t="shared" si="37"/>
        <v>36.254823877108315</v>
      </c>
      <c r="BF57" s="62">
        <f t="shared" si="38"/>
        <v>36</v>
      </c>
      <c r="BG57" s="60">
        <f t="shared" si="39"/>
        <v>15</v>
      </c>
      <c r="BH57" s="63">
        <f t="shared" si="40"/>
        <v>17.365957589933601</v>
      </c>
      <c r="BI57" s="64">
        <f t="shared" si="41"/>
        <v>5143373.1390186641</v>
      </c>
      <c r="BJ57" s="65">
        <f t="shared" si="42"/>
        <v>3771943.1014487948</v>
      </c>
      <c r="BK57" s="66">
        <f t="shared" si="43"/>
        <v>12890.021538123134</v>
      </c>
      <c r="BL57" s="55">
        <f t="shared" si="89"/>
        <v>23.92</v>
      </c>
      <c r="BM57" s="6">
        <f t="shared" si="89"/>
        <v>-141.27000000000001</v>
      </c>
      <c r="BN57" s="6">
        <f t="shared" si="89"/>
        <v>-80.900000000000006</v>
      </c>
      <c r="BO57" s="6">
        <f t="shared" si="89"/>
        <v>0</v>
      </c>
      <c r="BP57" s="6">
        <f t="shared" si="89"/>
        <v>-0.35</v>
      </c>
      <c r="BQ57" s="6">
        <f t="shared" si="89"/>
        <v>-0.82</v>
      </c>
      <c r="BR57" s="6">
        <f t="shared" si="90"/>
        <v>0</v>
      </c>
      <c r="BS57" s="6">
        <f t="shared" si="90"/>
        <v>-1.6968478838833759E-6</v>
      </c>
      <c r="BT57" s="6">
        <f t="shared" si="90"/>
        <v>-3.9754721850981945E-6</v>
      </c>
      <c r="BU57" s="67">
        <f t="shared" si="44"/>
        <v>-0.22</v>
      </c>
      <c r="BV57" s="59">
        <f t="shared" si="45"/>
        <v>5143380.9540973902</v>
      </c>
      <c r="BW57" s="60">
        <f t="shared" si="46"/>
        <v>3771821.4489536658</v>
      </c>
      <c r="BX57" s="68">
        <f t="shared" si="47"/>
        <v>12800.391182411484</v>
      </c>
      <c r="BY57" s="55">
        <f t="shared" si="91"/>
        <v>23.92</v>
      </c>
      <c r="BZ57" s="6">
        <f t="shared" si="91"/>
        <v>-141.27000000000001</v>
      </c>
      <c r="CA57" s="6">
        <f t="shared" si="91"/>
        <v>-80.900000000000006</v>
      </c>
      <c r="CB57" s="6">
        <f t="shared" si="91"/>
        <v>0</v>
      </c>
      <c r="CC57" s="6">
        <f t="shared" si="91"/>
        <v>-0.35</v>
      </c>
      <c r="CD57" s="6">
        <f t="shared" si="91"/>
        <v>-0.82</v>
      </c>
      <c r="CE57" s="6">
        <f t="shared" si="92"/>
        <v>0</v>
      </c>
      <c r="CF57" s="6">
        <f t="shared" si="92"/>
        <v>-1.6968478838833759E-6</v>
      </c>
      <c r="CG57" s="6">
        <f t="shared" si="92"/>
        <v>-3.9754721850981945E-6</v>
      </c>
      <c r="CH57" s="67">
        <f t="shared" si="48"/>
        <v>-0.22</v>
      </c>
      <c r="CI57" s="64">
        <f t="shared" si="49"/>
        <v>5143373.1386954347</v>
      </c>
      <c r="CJ57" s="65">
        <f t="shared" si="50"/>
        <v>3771943.1013819654</v>
      </c>
      <c r="CK57" s="66">
        <f t="shared" si="51"/>
        <v>12890.021535505568</v>
      </c>
      <c r="CL57" s="69">
        <f t="shared" si="52"/>
        <v>6378231.8869665386</v>
      </c>
      <c r="CM57" s="6">
        <f t="shared" si="96"/>
        <v>6378245</v>
      </c>
      <c r="CN57" s="6">
        <f t="shared" si="96"/>
        <v>3.352329869259135E-3</v>
      </c>
      <c r="CO57" s="9">
        <f t="shared" si="54"/>
        <v>6.6934216229659433E-3</v>
      </c>
      <c r="CP57" s="9">
        <f t="shared" si="55"/>
        <v>6378244.911930861</v>
      </c>
      <c r="CQ57" s="9">
        <f t="shared" si="56"/>
        <v>2.0209368702047577E-3</v>
      </c>
      <c r="CR57" s="9">
        <f t="shared" si="57"/>
        <v>3.3467108576934797E-3</v>
      </c>
      <c r="CS57" s="9">
        <f t="shared" ca="1" si="58"/>
        <v>1.3618097007062995E-5</v>
      </c>
      <c r="CT57" s="9">
        <f t="shared" ca="1" si="59"/>
        <v>2.0345549672118207E-3</v>
      </c>
      <c r="CU57" s="46">
        <f t="shared" ca="1" si="94"/>
        <v>1.3618097007062995E-5</v>
      </c>
      <c r="CV57" s="70">
        <f t="shared" ca="1" si="60"/>
        <v>0</v>
      </c>
      <c r="CW57" s="71">
        <f t="shared" ca="1" si="61"/>
        <v>2.0345549672118207E-3</v>
      </c>
      <c r="CX57" s="59">
        <f t="shared" ca="1" si="62"/>
        <v>0</v>
      </c>
      <c r="CY57" s="60">
        <f t="shared" ca="1" si="63"/>
        <v>6</v>
      </c>
      <c r="CZ57" s="61">
        <f t="shared" ca="1" si="64"/>
        <v>59.6571</v>
      </c>
      <c r="DA57" s="9">
        <f t="shared" ca="1" si="65"/>
        <v>0.11657141280861491</v>
      </c>
      <c r="DB57" s="9">
        <f t="shared" si="66"/>
        <v>0.63276604640771628</v>
      </c>
      <c r="DC57" s="9">
        <f t="shared" si="67"/>
        <v>0</v>
      </c>
      <c r="DD57" s="9">
        <f t="shared" si="68"/>
        <v>0.63276604640771628</v>
      </c>
      <c r="DE57" s="60">
        <f t="shared" si="69"/>
        <v>36</v>
      </c>
      <c r="DF57" s="60">
        <f t="shared" si="70"/>
        <v>15</v>
      </c>
      <c r="DG57" s="61">
        <f t="shared" si="71"/>
        <v>17.366</v>
      </c>
      <c r="DH57" s="9">
        <f t="shared" si="72"/>
        <v>36.254823878341327</v>
      </c>
      <c r="DI57" s="66">
        <f t="shared" ca="1" si="73"/>
        <v>-3.001755103468895E-4</v>
      </c>
      <c r="DJ57" s="55">
        <f t="shared" si="74"/>
        <v>39</v>
      </c>
      <c r="DK57" s="6">
        <f t="shared" si="75"/>
        <v>-4.7912361870072265E-2</v>
      </c>
      <c r="DL57" s="6">
        <f t="shared" si="76"/>
        <v>6356863.0187730473</v>
      </c>
      <c r="DM57" s="6">
        <f t="shared" si="77"/>
        <v>6.7385254146834087E-3</v>
      </c>
      <c r="DN57" s="72">
        <f t="shared" ca="1" si="78"/>
        <v>6.7384975211760307E-3</v>
      </c>
      <c r="DO57" s="73">
        <f t="shared" ca="1" si="79"/>
        <v>6378245.0883603953</v>
      </c>
      <c r="DP57" s="6">
        <f t="shared" si="80"/>
        <v>1.0050517725429551</v>
      </c>
      <c r="DQ57" s="6">
        <f t="shared" si="81"/>
        <v>-2.5311877419908228E-3</v>
      </c>
      <c r="DR57" s="6">
        <f t="shared" si="82"/>
        <v>2.6558601241364054E-6</v>
      </c>
      <c r="DS57" s="6">
        <f t="shared" si="83"/>
        <v>-3.4165783147131439E-9</v>
      </c>
      <c r="DT57" s="6">
        <f t="shared" si="93"/>
        <v>7</v>
      </c>
      <c r="DU57" s="6">
        <f t="shared" si="93"/>
        <v>0</v>
      </c>
      <c r="DV57" s="6">
        <f t="shared" si="93"/>
        <v>500000</v>
      </c>
      <c r="DW57" s="6">
        <f t="shared" si="93"/>
        <v>1</v>
      </c>
      <c r="DX57" s="74">
        <f t="shared" ca="1" si="84"/>
        <v>12890.030428976437</v>
      </c>
      <c r="DY57" s="58">
        <f t="shared" ca="1" si="85"/>
        <v>-305713.93034284032</v>
      </c>
      <c r="DZ57" s="64">
        <f t="shared" ca="1" si="86"/>
        <v>12904.939659140397</v>
      </c>
      <c r="EA57" s="66">
        <f t="shared" ca="1" si="87"/>
        <v>7194286.06965716</v>
      </c>
    </row>
    <row r="58" spans="10:131" x14ac:dyDescent="0.25">
      <c r="Q58" s="81"/>
      <c r="R58" s="81"/>
      <c r="T58" s="53"/>
      <c r="U58" s="84"/>
      <c r="V58" s="84"/>
      <c r="W58" s="54"/>
      <c r="X58" s="55">
        <f t="shared" si="88"/>
        <v>1</v>
      </c>
      <c r="Y58" s="6">
        <f t="shared" si="88"/>
        <v>-12900</v>
      </c>
      <c r="Z58" s="6">
        <f t="shared" si="88"/>
        <v>250000</v>
      </c>
      <c r="AA58" s="6">
        <f t="shared" si="10"/>
        <v>0</v>
      </c>
      <c r="AB58" s="30">
        <f t="shared" si="8"/>
        <v>12900</v>
      </c>
      <c r="AC58" s="30">
        <f t="shared" si="9"/>
        <v>-250000</v>
      </c>
      <c r="AD58" s="6">
        <f t="shared" si="95"/>
        <v>38.5</v>
      </c>
      <c r="AE58" s="6">
        <f t="shared" si="95"/>
        <v>6378245</v>
      </c>
      <c r="AF58" s="6">
        <f t="shared" si="12"/>
        <v>6356863.0187730473</v>
      </c>
      <c r="AG58" s="6">
        <f t="shared" si="13"/>
        <v>3.352329869259135E-3</v>
      </c>
      <c r="AH58" s="8">
        <f t="shared" si="14"/>
        <v>6.6934216229658618E-3</v>
      </c>
      <c r="AI58" s="56">
        <f t="shared" si="15"/>
        <v>6.7385254146834087E-3</v>
      </c>
      <c r="AJ58" s="57">
        <f t="shared" si="16"/>
        <v>6378245.0883603953</v>
      </c>
      <c r="AK58" s="8">
        <f t="shared" si="17"/>
        <v>2.0361285582720838E-3</v>
      </c>
      <c r="AL58" s="8">
        <f t="shared" si="18"/>
        <v>6367558.4882606138</v>
      </c>
      <c r="AM58" s="8">
        <f t="shared" si="19"/>
        <v>16036.473376007938</v>
      </c>
      <c r="AN58" s="8">
        <f t="shared" si="20"/>
        <v>16.826341825445081</v>
      </c>
      <c r="AO58" s="8">
        <f t="shared" si="21"/>
        <v>2.1689203848674052E-2</v>
      </c>
      <c r="AP58" s="8">
        <f t="shared" si="22"/>
        <v>1.5704606433433228E-7</v>
      </c>
      <c r="AQ58" s="8">
        <f t="shared" si="23"/>
        <v>2.5184636976839014E-3</v>
      </c>
      <c r="AR58" s="8">
        <f t="shared" si="24"/>
        <v>3.70015534400603E-6</v>
      </c>
      <c r="AS58" s="8">
        <f t="shared" si="25"/>
        <v>7.4016654475384287E-9</v>
      </c>
      <c r="AT58" s="8">
        <f t="shared" si="26"/>
        <v>6378245.0884971283</v>
      </c>
      <c r="AU58" s="8">
        <f t="shared" si="27"/>
        <v>8.2088351658514316E-2</v>
      </c>
      <c r="AV58" s="8">
        <f t="shared" si="28"/>
        <v>2.0361313720839145E-3</v>
      </c>
      <c r="AW58" s="8">
        <f t="shared" si="29"/>
        <v>1.0067384974780118</v>
      </c>
      <c r="AX58" s="58">
        <f t="shared" si="30"/>
        <v>2.0345549675285794E-3</v>
      </c>
      <c r="AY58" s="59">
        <f t="shared" si="31"/>
        <v>0</v>
      </c>
      <c r="AZ58" s="60">
        <f t="shared" si="32"/>
        <v>6</v>
      </c>
      <c r="BA58" s="61">
        <f t="shared" si="33"/>
        <v>59.657086176349864</v>
      </c>
      <c r="BB58" s="56">
        <f t="shared" si="34"/>
        <v>0.11657141282676385</v>
      </c>
      <c r="BC58" s="56">
        <f t="shared" si="35"/>
        <v>-3.9185715631620689E-2</v>
      </c>
      <c r="BD58" s="56">
        <f t="shared" si="36"/>
        <v>0.63276604638619627</v>
      </c>
      <c r="BE58" s="56">
        <f t="shared" si="37"/>
        <v>36.254823877108315</v>
      </c>
      <c r="BF58" s="62">
        <f t="shared" si="38"/>
        <v>36</v>
      </c>
      <c r="BG58" s="60">
        <f t="shared" si="39"/>
        <v>15</v>
      </c>
      <c r="BH58" s="63">
        <f t="shared" si="40"/>
        <v>17.365957589933601</v>
      </c>
      <c r="BI58" s="64">
        <f t="shared" si="41"/>
        <v>5143373.1390186641</v>
      </c>
      <c r="BJ58" s="65">
        <f t="shared" si="42"/>
        <v>3771943.1014487948</v>
      </c>
      <c r="BK58" s="66">
        <f t="shared" si="43"/>
        <v>12890.021538123134</v>
      </c>
      <c r="BL58" s="55">
        <f t="shared" si="89"/>
        <v>23.92</v>
      </c>
      <c r="BM58" s="6">
        <f t="shared" si="89"/>
        <v>-141.27000000000001</v>
      </c>
      <c r="BN58" s="6">
        <f t="shared" si="89"/>
        <v>-80.900000000000006</v>
      </c>
      <c r="BO58" s="6">
        <f t="shared" si="89"/>
        <v>0</v>
      </c>
      <c r="BP58" s="6">
        <f t="shared" si="89"/>
        <v>-0.35</v>
      </c>
      <c r="BQ58" s="6">
        <f t="shared" si="89"/>
        <v>-0.82</v>
      </c>
      <c r="BR58" s="6">
        <f t="shared" si="90"/>
        <v>0</v>
      </c>
      <c r="BS58" s="6">
        <f t="shared" si="90"/>
        <v>-1.6968478838833759E-6</v>
      </c>
      <c r="BT58" s="6">
        <f t="shared" si="90"/>
        <v>-3.9754721850981945E-6</v>
      </c>
      <c r="BU58" s="67">
        <f t="shared" si="44"/>
        <v>-0.22</v>
      </c>
      <c r="BV58" s="59">
        <f t="shared" si="45"/>
        <v>5143380.9540973902</v>
      </c>
      <c r="BW58" s="60">
        <f t="shared" si="46"/>
        <v>3771821.4489536658</v>
      </c>
      <c r="BX58" s="68">
        <f t="shared" si="47"/>
        <v>12800.391182411484</v>
      </c>
      <c r="BY58" s="55">
        <f t="shared" si="91"/>
        <v>23.92</v>
      </c>
      <c r="BZ58" s="6">
        <f t="shared" si="91"/>
        <v>-141.27000000000001</v>
      </c>
      <c r="CA58" s="6">
        <f t="shared" si="91"/>
        <v>-80.900000000000006</v>
      </c>
      <c r="CB58" s="6">
        <f t="shared" si="91"/>
        <v>0</v>
      </c>
      <c r="CC58" s="6">
        <f t="shared" si="91"/>
        <v>-0.35</v>
      </c>
      <c r="CD58" s="6">
        <f t="shared" si="91"/>
        <v>-0.82</v>
      </c>
      <c r="CE58" s="6">
        <f t="shared" si="92"/>
        <v>0</v>
      </c>
      <c r="CF58" s="6">
        <f t="shared" si="92"/>
        <v>-1.6968478838833759E-6</v>
      </c>
      <c r="CG58" s="6">
        <f t="shared" si="92"/>
        <v>-3.9754721850981945E-6</v>
      </c>
      <c r="CH58" s="67">
        <f t="shared" si="48"/>
        <v>-0.22</v>
      </c>
      <c r="CI58" s="64">
        <f t="shared" si="49"/>
        <v>5143373.1386954347</v>
      </c>
      <c r="CJ58" s="65">
        <f t="shared" si="50"/>
        <v>3771943.1013819654</v>
      </c>
      <c r="CK58" s="66">
        <f t="shared" si="51"/>
        <v>12890.021535505568</v>
      </c>
      <c r="CL58" s="69">
        <f t="shared" si="52"/>
        <v>6378231.8869665386</v>
      </c>
      <c r="CM58" s="6">
        <f t="shared" si="96"/>
        <v>6378245</v>
      </c>
      <c r="CN58" s="6">
        <f t="shared" si="96"/>
        <v>3.352329869259135E-3</v>
      </c>
      <c r="CO58" s="9">
        <f t="shared" si="54"/>
        <v>6.6934216229659433E-3</v>
      </c>
      <c r="CP58" s="9">
        <f t="shared" si="55"/>
        <v>6378244.911930861</v>
      </c>
      <c r="CQ58" s="9">
        <f t="shared" si="56"/>
        <v>2.0209368702047577E-3</v>
      </c>
      <c r="CR58" s="9">
        <f t="shared" si="57"/>
        <v>3.3467108576934797E-3</v>
      </c>
      <c r="CS58" s="9">
        <f t="shared" ca="1" si="58"/>
        <v>1.3618097007062995E-5</v>
      </c>
      <c r="CT58" s="9">
        <f t="shared" ca="1" si="59"/>
        <v>2.0345549672118207E-3</v>
      </c>
      <c r="CU58" s="46">
        <f t="shared" ca="1" si="94"/>
        <v>1.3618097007062995E-5</v>
      </c>
      <c r="CV58" s="70">
        <f t="shared" ca="1" si="60"/>
        <v>0</v>
      </c>
      <c r="CW58" s="71">
        <f t="shared" ca="1" si="61"/>
        <v>2.0345549672118207E-3</v>
      </c>
      <c r="CX58" s="59">
        <f t="shared" ca="1" si="62"/>
        <v>0</v>
      </c>
      <c r="CY58" s="60">
        <f t="shared" ca="1" si="63"/>
        <v>6</v>
      </c>
      <c r="CZ58" s="61">
        <f t="shared" ca="1" si="64"/>
        <v>59.6571</v>
      </c>
      <c r="DA58" s="9">
        <f t="shared" ca="1" si="65"/>
        <v>0.11657141280861491</v>
      </c>
      <c r="DB58" s="9">
        <f t="shared" si="66"/>
        <v>0.63276604640771628</v>
      </c>
      <c r="DC58" s="9">
        <f t="shared" si="67"/>
        <v>0</v>
      </c>
      <c r="DD58" s="9">
        <f t="shared" si="68"/>
        <v>0.63276604640771628</v>
      </c>
      <c r="DE58" s="60">
        <f t="shared" si="69"/>
        <v>36</v>
      </c>
      <c r="DF58" s="60">
        <f t="shared" si="70"/>
        <v>15</v>
      </c>
      <c r="DG58" s="61">
        <f t="shared" si="71"/>
        <v>17.366</v>
      </c>
      <c r="DH58" s="9">
        <f t="shared" si="72"/>
        <v>36.254823878341327</v>
      </c>
      <c r="DI58" s="66">
        <f t="shared" ca="1" si="73"/>
        <v>-3.001755103468895E-4</v>
      </c>
      <c r="DJ58" s="55">
        <f t="shared" si="74"/>
        <v>39</v>
      </c>
      <c r="DK58" s="6">
        <f t="shared" si="75"/>
        <v>-4.7912361870072265E-2</v>
      </c>
      <c r="DL58" s="6">
        <f t="shared" si="76"/>
        <v>6356863.0187730473</v>
      </c>
      <c r="DM58" s="6">
        <f t="shared" si="77"/>
        <v>6.7385254146834087E-3</v>
      </c>
      <c r="DN58" s="72">
        <f t="shared" ca="1" si="78"/>
        <v>6.7384975211760307E-3</v>
      </c>
      <c r="DO58" s="73">
        <f t="shared" ca="1" si="79"/>
        <v>6378245.0883603953</v>
      </c>
      <c r="DP58" s="6">
        <f t="shared" si="80"/>
        <v>1.0050517725429551</v>
      </c>
      <c r="DQ58" s="6">
        <f t="shared" si="81"/>
        <v>-2.5311877419908228E-3</v>
      </c>
      <c r="DR58" s="6">
        <f t="shared" si="82"/>
        <v>2.6558601241364054E-6</v>
      </c>
      <c r="DS58" s="6">
        <f t="shared" si="83"/>
        <v>-3.4165783147131439E-9</v>
      </c>
      <c r="DT58" s="6">
        <f t="shared" si="93"/>
        <v>7</v>
      </c>
      <c r="DU58" s="6">
        <f t="shared" si="93"/>
        <v>0</v>
      </c>
      <c r="DV58" s="6">
        <f t="shared" si="93"/>
        <v>500000</v>
      </c>
      <c r="DW58" s="6">
        <f t="shared" si="93"/>
        <v>1</v>
      </c>
      <c r="DX58" s="74">
        <f t="shared" ca="1" si="84"/>
        <v>12890.030428976437</v>
      </c>
      <c r="DY58" s="58">
        <f t="shared" ca="1" si="85"/>
        <v>-305713.93034284032</v>
      </c>
      <c r="DZ58" s="64">
        <f t="shared" ca="1" si="86"/>
        <v>12904.939659140397</v>
      </c>
      <c r="EA58" s="66">
        <f t="shared" ca="1" si="87"/>
        <v>7194286.06965716</v>
      </c>
    </row>
    <row r="59" spans="10:131" x14ac:dyDescent="0.25">
      <c r="Q59" s="81"/>
      <c r="R59" s="81"/>
      <c r="T59" s="53"/>
      <c r="U59" s="84"/>
      <c r="V59" s="84"/>
      <c r="W59" s="54"/>
      <c r="X59" s="55">
        <f t="shared" si="88"/>
        <v>1</v>
      </c>
      <c r="Y59" s="6">
        <f t="shared" si="88"/>
        <v>-12900</v>
      </c>
      <c r="Z59" s="6">
        <f t="shared" si="88"/>
        <v>250000</v>
      </c>
      <c r="AA59" s="6">
        <f t="shared" si="10"/>
        <v>0</v>
      </c>
      <c r="AB59" s="30">
        <f t="shared" si="8"/>
        <v>12900</v>
      </c>
      <c r="AC59" s="30">
        <f t="shared" si="9"/>
        <v>-250000</v>
      </c>
      <c r="AD59" s="6">
        <f t="shared" si="95"/>
        <v>38.5</v>
      </c>
      <c r="AE59" s="6">
        <f t="shared" si="95"/>
        <v>6378245</v>
      </c>
      <c r="AF59" s="6">
        <f t="shared" si="12"/>
        <v>6356863.0187730473</v>
      </c>
      <c r="AG59" s="6">
        <f t="shared" si="13"/>
        <v>3.352329869259135E-3</v>
      </c>
      <c r="AH59" s="8">
        <f t="shared" si="14"/>
        <v>6.6934216229658618E-3</v>
      </c>
      <c r="AI59" s="56">
        <f t="shared" si="15"/>
        <v>6.7385254146834087E-3</v>
      </c>
      <c r="AJ59" s="57">
        <f t="shared" si="16"/>
        <v>6378245.0883603953</v>
      </c>
      <c r="AK59" s="8">
        <f t="shared" si="17"/>
        <v>2.0361285582720838E-3</v>
      </c>
      <c r="AL59" s="8">
        <f t="shared" si="18"/>
        <v>6367558.4882606138</v>
      </c>
      <c r="AM59" s="8">
        <f t="shared" si="19"/>
        <v>16036.473376007938</v>
      </c>
      <c r="AN59" s="8">
        <f t="shared" si="20"/>
        <v>16.826341825445081</v>
      </c>
      <c r="AO59" s="8">
        <f t="shared" si="21"/>
        <v>2.1689203848674052E-2</v>
      </c>
      <c r="AP59" s="8">
        <f t="shared" si="22"/>
        <v>1.5704606433433228E-7</v>
      </c>
      <c r="AQ59" s="8">
        <f t="shared" si="23"/>
        <v>2.5184636976839014E-3</v>
      </c>
      <c r="AR59" s="8">
        <f t="shared" si="24"/>
        <v>3.70015534400603E-6</v>
      </c>
      <c r="AS59" s="8">
        <f t="shared" si="25"/>
        <v>7.4016654475384287E-9</v>
      </c>
      <c r="AT59" s="8">
        <f t="shared" si="26"/>
        <v>6378245.0884971283</v>
      </c>
      <c r="AU59" s="8">
        <f t="shared" si="27"/>
        <v>8.2088351658514316E-2</v>
      </c>
      <c r="AV59" s="8">
        <f t="shared" si="28"/>
        <v>2.0361313720839145E-3</v>
      </c>
      <c r="AW59" s="8">
        <f t="shared" si="29"/>
        <v>1.0067384974780118</v>
      </c>
      <c r="AX59" s="58">
        <f t="shared" si="30"/>
        <v>2.0345549675285794E-3</v>
      </c>
      <c r="AY59" s="59">
        <f t="shared" si="31"/>
        <v>0</v>
      </c>
      <c r="AZ59" s="60">
        <f t="shared" si="32"/>
        <v>6</v>
      </c>
      <c r="BA59" s="61">
        <f t="shared" si="33"/>
        <v>59.657086176349864</v>
      </c>
      <c r="BB59" s="56">
        <f t="shared" si="34"/>
        <v>0.11657141282676385</v>
      </c>
      <c r="BC59" s="56">
        <f t="shared" si="35"/>
        <v>-3.9185715631620689E-2</v>
      </c>
      <c r="BD59" s="56">
        <f t="shared" si="36"/>
        <v>0.63276604638619627</v>
      </c>
      <c r="BE59" s="56">
        <f t="shared" si="37"/>
        <v>36.254823877108315</v>
      </c>
      <c r="BF59" s="62">
        <f t="shared" si="38"/>
        <v>36</v>
      </c>
      <c r="BG59" s="60">
        <f t="shared" si="39"/>
        <v>15</v>
      </c>
      <c r="BH59" s="63">
        <f t="shared" si="40"/>
        <v>17.365957589933601</v>
      </c>
      <c r="BI59" s="64">
        <f t="shared" si="41"/>
        <v>5143373.1390186641</v>
      </c>
      <c r="BJ59" s="65">
        <f t="shared" si="42"/>
        <v>3771943.1014487948</v>
      </c>
      <c r="BK59" s="66">
        <f t="shared" si="43"/>
        <v>12890.021538123134</v>
      </c>
      <c r="BL59" s="55">
        <f t="shared" si="89"/>
        <v>23.92</v>
      </c>
      <c r="BM59" s="6">
        <f t="shared" si="89"/>
        <v>-141.27000000000001</v>
      </c>
      <c r="BN59" s="6">
        <f t="shared" si="89"/>
        <v>-80.900000000000006</v>
      </c>
      <c r="BO59" s="6">
        <f t="shared" si="89"/>
        <v>0</v>
      </c>
      <c r="BP59" s="6">
        <f t="shared" si="89"/>
        <v>-0.35</v>
      </c>
      <c r="BQ59" s="6">
        <f t="shared" si="89"/>
        <v>-0.82</v>
      </c>
      <c r="BR59" s="6">
        <f t="shared" si="90"/>
        <v>0</v>
      </c>
      <c r="BS59" s="6">
        <f t="shared" si="90"/>
        <v>-1.6968478838833759E-6</v>
      </c>
      <c r="BT59" s="6">
        <f t="shared" si="90"/>
        <v>-3.9754721850981945E-6</v>
      </c>
      <c r="BU59" s="67">
        <f t="shared" si="44"/>
        <v>-0.22</v>
      </c>
      <c r="BV59" s="59">
        <f t="shared" si="45"/>
        <v>5143380.9540973902</v>
      </c>
      <c r="BW59" s="60">
        <f t="shared" si="46"/>
        <v>3771821.4489536658</v>
      </c>
      <c r="BX59" s="68">
        <f t="shared" si="47"/>
        <v>12800.391182411484</v>
      </c>
      <c r="BY59" s="55">
        <f t="shared" si="91"/>
        <v>23.92</v>
      </c>
      <c r="BZ59" s="6">
        <f t="shared" si="91"/>
        <v>-141.27000000000001</v>
      </c>
      <c r="CA59" s="6">
        <f t="shared" si="91"/>
        <v>-80.900000000000006</v>
      </c>
      <c r="CB59" s="6">
        <f t="shared" si="91"/>
        <v>0</v>
      </c>
      <c r="CC59" s="6">
        <f t="shared" si="91"/>
        <v>-0.35</v>
      </c>
      <c r="CD59" s="6">
        <f t="shared" si="91"/>
        <v>-0.82</v>
      </c>
      <c r="CE59" s="6">
        <f t="shared" si="92"/>
        <v>0</v>
      </c>
      <c r="CF59" s="6">
        <f t="shared" si="92"/>
        <v>-1.6968478838833759E-6</v>
      </c>
      <c r="CG59" s="6">
        <f t="shared" si="92"/>
        <v>-3.9754721850981945E-6</v>
      </c>
      <c r="CH59" s="67">
        <f t="shared" si="48"/>
        <v>-0.22</v>
      </c>
      <c r="CI59" s="64">
        <f t="shared" si="49"/>
        <v>5143373.1386954347</v>
      </c>
      <c r="CJ59" s="65">
        <f t="shared" si="50"/>
        <v>3771943.1013819654</v>
      </c>
      <c r="CK59" s="66">
        <f t="shared" si="51"/>
        <v>12890.021535505568</v>
      </c>
      <c r="CL59" s="69">
        <f t="shared" si="52"/>
        <v>6378231.8869665386</v>
      </c>
      <c r="CM59" s="6">
        <f t="shared" si="96"/>
        <v>6378245</v>
      </c>
      <c r="CN59" s="6">
        <f t="shared" si="96"/>
        <v>3.352329869259135E-3</v>
      </c>
      <c r="CO59" s="9">
        <f t="shared" si="54"/>
        <v>6.6934216229659433E-3</v>
      </c>
      <c r="CP59" s="9">
        <f t="shared" si="55"/>
        <v>6378244.911930861</v>
      </c>
      <c r="CQ59" s="9">
        <f t="shared" si="56"/>
        <v>2.0209368702047577E-3</v>
      </c>
      <c r="CR59" s="9">
        <f t="shared" si="57"/>
        <v>3.3467108576934797E-3</v>
      </c>
      <c r="CS59" s="9">
        <f t="shared" ca="1" si="58"/>
        <v>1.3618097007062995E-5</v>
      </c>
      <c r="CT59" s="9">
        <f t="shared" ca="1" si="59"/>
        <v>2.0345549672118207E-3</v>
      </c>
      <c r="CU59" s="46">
        <f t="shared" ca="1" si="94"/>
        <v>1.3618097007062995E-5</v>
      </c>
      <c r="CV59" s="70">
        <f t="shared" ca="1" si="60"/>
        <v>0</v>
      </c>
      <c r="CW59" s="71">
        <f t="shared" ca="1" si="61"/>
        <v>2.0345549672118207E-3</v>
      </c>
      <c r="CX59" s="59">
        <f t="shared" ca="1" si="62"/>
        <v>0</v>
      </c>
      <c r="CY59" s="60">
        <f t="shared" ca="1" si="63"/>
        <v>6</v>
      </c>
      <c r="CZ59" s="61">
        <f t="shared" ca="1" si="64"/>
        <v>59.6571</v>
      </c>
      <c r="DA59" s="9">
        <f t="shared" ca="1" si="65"/>
        <v>0.11657141280861491</v>
      </c>
      <c r="DB59" s="9">
        <f t="shared" si="66"/>
        <v>0.63276604640771628</v>
      </c>
      <c r="DC59" s="9">
        <f t="shared" si="67"/>
        <v>0</v>
      </c>
      <c r="DD59" s="9">
        <f t="shared" si="68"/>
        <v>0.63276604640771628</v>
      </c>
      <c r="DE59" s="60">
        <f t="shared" si="69"/>
        <v>36</v>
      </c>
      <c r="DF59" s="60">
        <f t="shared" si="70"/>
        <v>15</v>
      </c>
      <c r="DG59" s="61">
        <f t="shared" si="71"/>
        <v>17.366</v>
      </c>
      <c r="DH59" s="9">
        <f t="shared" si="72"/>
        <v>36.254823878341327</v>
      </c>
      <c r="DI59" s="66">
        <f t="shared" ca="1" si="73"/>
        <v>-3.001755103468895E-4</v>
      </c>
      <c r="DJ59" s="55">
        <f t="shared" si="74"/>
        <v>39</v>
      </c>
      <c r="DK59" s="6">
        <f t="shared" si="75"/>
        <v>-4.7912361870072265E-2</v>
      </c>
      <c r="DL59" s="6">
        <f t="shared" si="76"/>
        <v>6356863.0187730473</v>
      </c>
      <c r="DM59" s="6">
        <f t="shared" si="77"/>
        <v>6.7385254146834087E-3</v>
      </c>
      <c r="DN59" s="72">
        <f t="shared" ca="1" si="78"/>
        <v>6.7384975211760307E-3</v>
      </c>
      <c r="DO59" s="73">
        <f t="shared" ca="1" si="79"/>
        <v>6378245.0883603953</v>
      </c>
      <c r="DP59" s="6">
        <f t="shared" si="80"/>
        <v>1.0050517725429551</v>
      </c>
      <c r="DQ59" s="6">
        <f t="shared" si="81"/>
        <v>-2.5311877419908228E-3</v>
      </c>
      <c r="DR59" s="6">
        <f t="shared" si="82"/>
        <v>2.6558601241364054E-6</v>
      </c>
      <c r="DS59" s="6">
        <f t="shared" si="83"/>
        <v>-3.4165783147131439E-9</v>
      </c>
      <c r="DT59" s="6">
        <f t="shared" si="93"/>
        <v>7</v>
      </c>
      <c r="DU59" s="6">
        <f t="shared" si="93"/>
        <v>0</v>
      </c>
      <c r="DV59" s="6">
        <f t="shared" si="93"/>
        <v>500000</v>
      </c>
      <c r="DW59" s="6">
        <f t="shared" si="93"/>
        <v>1</v>
      </c>
      <c r="DX59" s="74">
        <f t="shared" ca="1" si="84"/>
        <v>12890.030428976437</v>
      </c>
      <c r="DY59" s="58">
        <f t="shared" ca="1" si="85"/>
        <v>-305713.93034284032</v>
      </c>
      <c r="DZ59" s="64">
        <f t="shared" ca="1" si="86"/>
        <v>12904.939659140397</v>
      </c>
      <c r="EA59" s="66">
        <f t="shared" ca="1" si="87"/>
        <v>7194286.06965716</v>
      </c>
    </row>
    <row r="60" spans="10:131" x14ac:dyDescent="0.25">
      <c r="Q60" s="81"/>
      <c r="R60" s="81"/>
      <c r="T60" s="53"/>
      <c r="U60" s="84"/>
      <c r="V60" s="84"/>
      <c r="W60" s="54"/>
      <c r="X60" s="55">
        <f t="shared" si="88"/>
        <v>1</v>
      </c>
      <c r="Y60" s="6">
        <f t="shared" si="88"/>
        <v>-12900</v>
      </c>
      <c r="Z60" s="6">
        <f t="shared" si="88"/>
        <v>250000</v>
      </c>
      <c r="AA60" s="6">
        <f t="shared" si="10"/>
        <v>0</v>
      </c>
      <c r="AB60" s="30">
        <f t="shared" si="8"/>
        <v>12900</v>
      </c>
      <c r="AC60" s="30">
        <f t="shared" si="9"/>
        <v>-250000</v>
      </c>
      <c r="AD60" s="6">
        <f t="shared" si="95"/>
        <v>38.5</v>
      </c>
      <c r="AE60" s="6">
        <f t="shared" si="95"/>
        <v>6378245</v>
      </c>
      <c r="AF60" s="6">
        <f t="shared" si="12"/>
        <v>6356863.0187730473</v>
      </c>
      <c r="AG60" s="6">
        <f t="shared" si="13"/>
        <v>3.352329869259135E-3</v>
      </c>
      <c r="AH60" s="8">
        <f t="shared" si="14"/>
        <v>6.6934216229658618E-3</v>
      </c>
      <c r="AI60" s="56">
        <f t="shared" si="15"/>
        <v>6.7385254146834087E-3</v>
      </c>
      <c r="AJ60" s="57">
        <f t="shared" si="16"/>
        <v>6378245.0883603953</v>
      </c>
      <c r="AK60" s="8">
        <f t="shared" si="17"/>
        <v>2.0361285582720838E-3</v>
      </c>
      <c r="AL60" s="8">
        <f t="shared" si="18"/>
        <v>6367558.4882606138</v>
      </c>
      <c r="AM60" s="8">
        <f t="shared" si="19"/>
        <v>16036.473376007938</v>
      </c>
      <c r="AN60" s="8">
        <f t="shared" si="20"/>
        <v>16.826341825445081</v>
      </c>
      <c r="AO60" s="8">
        <f t="shared" si="21"/>
        <v>2.1689203848674052E-2</v>
      </c>
      <c r="AP60" s="8">
        <f t="shared" si="22"/>
        <v>1.5704606433433228E-7</v>
      </c>
      <c r="AQ60" s="8">
        <f t="shared" si="23"/>
        <v>2.5184636976839014E-3</v>
      </c>
      <c r="AR60" s="8">
        <f t="shared" si="24"/>
        <v>3.70015534400603E-6</v>
      </c>
      <c r="AS60" s="8">
        <f t="shared" si="25"/>
        <v>7.4016654475384287E-9</v>
      </c>
      <c r="AT60" s="8">
        <f t="shared" si="26"/>
        <v>6378245.0884971283</v>
      </c>
      <c r="AU60" s="8">
        <f t="shared" si="27"/>
        <v>8.2088351658514316E-2</v>
      </c>
      <c r="AV60" s="8">
        <f t="shared" si="28"/>
        <v>2.0361313720839145E-3</v>
      </c>
      <c r="AW60" s="8">
        <f t="shared" si="29"/>
        <v>1.0067384974780118</v>
      </c>
      <c r="AX60" s="58">
        <f t="shared" si="30"/>
        <v>2.0345549675285794E-3</v>
      </c>
      <c r="AY60" s="59">
        <f t="shared" si="31"/>
        <v>0</v>
      </c>
      <c r="AZ60" s="60">
        <f t="shared" si="32"/>
        <v>6</v>
      </c>
      <c r="BA60" s="61">
        <f t="shared" si="33"/>
        <v>59.657086176349864</v>
      </c>
      <c r="BB60" s="56">
        <f t="shared" si="34"/>
        <v>0.11657141282676385</v>
      </c>
      <c r="BC60" s="56">
        <f t="shared" si="35"/>
        <v>-3.9185715631620689E-2</v>
      </c>
      <c r="BD60" s="56">
        <f t="shared" si="36"/>
        <v>0.63276604638619627</v>
      </c>
      <c r="BE60" s="56">
        <f t="shared" si="37"/>
        <v>36.254823877108315</v>
      </c>
      <c r="BF60" s="62">
        <f t="shared" si="38"/>
        <v>36</v>
      </c>
      <c r="BG60" s="60">
        <f t="shared" si="39"/>
        <v>15</v>
      </c>
      <c r="BH60" s="63">
        <f t="shared" si="40"/>
        <v>17.365957589933601</v>
      </c>
      <c r="BI60" s="64">
        <f t="shared" si="41"/>
        <v>5143373.1390186641</v>
      </c>
      <c r="BJ60" s="65">
        <f t="shared" si="42"/>
        <v>3771943.1014487948</v>
      </c>
      <c r="BK60" s="66">
        <f t="shared" si="43"/>
        <v>12890.021538123134</v>
      </c>
      <c r="BL60" s="55">
        <f t="shared" si="89"/>
        <v>23.92</v>
      </c>
      <c r="BM60" s="6">
        <f t="shared" si="89"/>
        <v>-141.27000000000001</v>
      </c>
      <c r="BN60" s="6">
        <f t="shared" si="89"/>
        <v>-80.900000000000006</v>
      </c>
      <c r="BO60" s="6">
        <f t="shared" si="89"/>
        <v>0</v>
      </c>
      <c r="BP60" s="6">
        <f t="shared" si="89"/>
        <v>-0.35</v>
      </c>
      <c r="BQ60" s="6">
        <f t="shared" si="89"/>
        <v>-0.82</v>
      </c>
      <c r="BR60" s="6">
        <f t="shared" si="90"/>
        <v>0</v>
      </c>
      <c r="BS60" s="6">
        <f t="shared" si="90"/>
        <v>-1.6968478838833759E-6</v>
      </c>
      <c r="BT60" s="6">
        <f t="shared" si="90"/>
        <v>-3.9754721850981945E-6</v>
      </c>
      <c r="BU60" s="67">
        <f t="shared" si="44"/>
        <v>-0.22</v>
      </c>
      <c r="BV60" s="59">
        <f t="shared" si="45"/>
        <v>5143380.9540973902</v>
      </c>
      <c r="BW60" s="60">
        <f t="shared" si="46"/>
        <v>3771821.4489536658</v>
      </c>
      <c r="BX60" s="68">
        <f t="shared" si="47"/>
        <v>12800.391182411484</v>
      </c>
      <c r="BY60" s="55">
        <f t="shared" si="91"/>
        <v>23.92</v>
      </c>
      <c r="BZ60" s="6">
        <f t="shared" si="91"/>
        <v>-141.27000000000001</v>
      </c>
      <c r="CA60" s="6">
        <f t="shared" si="91"/>
        <v>-80.900000000000006</v>
      </c>
      <c r="CB60" s="6">
        <f t="shared" si="91"/>
        <v>0</v>
      </c>
      <c r="CC60" s="6">
        <f t="shared" si="91"/>
        <v>-0.35</v>
      </c>
      <c r="CD60" s="6">
        <f t="shared" si="91"/>
        <v>-0.82</v>
      </c>
      <c r="CE60" s="6">
        <f t="shared" si="92"/>
        <v>0</v>
      </c>
      <c r="CF60" s="6">
        <f t="shared" si="92"/>
        <v>-1.6968478838833759E-6</v>
      </c>
      <c r="CG60" s="6">
        <f t="shared" si="92"/>
        <v>-3.9754721850981945E-6</v>
      </c>
      <c r="CH60" s="67">
        <f t="shared" si="48"/>
        <v>-0.22</v>
      </c>
      <c r="CI60" s="64">
        <f t="shared" si="49"/>
        <v>5143373.1386954347</v>
      </c>
      <c r="CJ60" s="65">
        <f t="shared" si="50"/>
        <v>3771943.1013819654</v>
      </c>
      <c r="CK60" s="66">
        <f t="shared" si="51"/>
        <v>12890.021535505568</v>
      </c>
      <c r="CL60" s="69">
        <f t="shared" si="52"/>
        <v>6378231.8869665386</v>
      </c>
      <c r="CM60" s="6">
        <f t="shared" si="96"/>
        <v>6378245</v>
      </c>
      <c r="CN60" s="6">
        <f t="shared" si="96"/>
        <v>3.352329869259135E-3</v>
      </c>
      <c r="CO60" s="9">
        <f t="shared" si="54"/>
        <v>6.6934216229659433E-3</v>
      </c>
      <c r="CP60" s="9">
        <f t="shared" si="55"/>
        <v>6378244.911930861</v>
      </c>
      <c r="CQ60" s="9">
        <f t="shared" si="56"/>
        <v>2.0209368702047577E-3</v>
      </c>
      <c r="CR60" s="9">
        <f t="shared" si="57"/>
        <v>3.3467108576934797E-3</v>
      </c>
      <c r="CS60" s="9">
        <f t="shared" ca="1" si="58"/>
        <v>1.3618097007062995E-5</v>
      </c>
      <c r="CT60" s="9">
        <f t="shared" ca="1" si="59"/>
        <v>2.0345549672118207E-3</v>
      </c>
      <c r="CU60" s="46">
        <f t="shared" ca="1" si="94"/>
        <v>1.3618097007062995E-5</v>
      </c>
      <c r="CV60" s="70">
        <f t="shared" ca="1" si="60"/>
        <v>0</v>
      </c>
      <c r="CW60" s="71">
        <f t="shared" ca="1" si="61"/>
        <v>2.0345549672118207E-3</v>
      </c>
      <c r="CX60" s="59">
        <f t="shared" ca="1" si="62"/>
        <v>0</v>
      </c>
      <c r="CY60" s="60">
        <f t="shared" ca="1" si="63"/>
        <v>6</v>
      </c>
      <c r="CZ60" s="61">
        <f t="shared" ca="1" si="64"/>
        <v>59.6571</v>
      </c>
      <c r="DA60" s="9">
        <f t="shared" ca="1" si="65"/>
        <v>0.11657141280861491</v>
      </c>
      <c r="DB60" s="9">
        <f t="shared" si="66"/>
        <v>0.63276604640771628</v>
      </c>
      <c r="DC60" s="9">
        <f t="shared" si="67"/>
        <v>0</v>
      </c>
      <c r="DD60" s="9">
        <f t="shared" si="68"/>
        <v>0.63276604640771628</v>
      </c>
      <c r="DE60" s="60">
        <f t="shared" si="69"/>
        <v>36</v>
      </c>
      <c r="DF60" s="60">
        <f t="shared" si="70"/>
        <v>15</v>
      </c>
      <c r="DG60" s="61">
        <f t="shared" si="71"/>
        <v>17.366</v>
      </c>
      <c r="DH60" s="9">
        <f t="shared" si="72"/>
        <v>36.254823878341327</v>
      </c>
      <c r="DI60" s="66">
        <f t="shared" ca="1" si="73"/>
        <v>-3.001755103468895E-4</v>
      </c>
      <c r="DJ60" s="55">
        <f t="shared" si="74"/>
        <v>39</v>
      </c>
      <c r="DK60" s="6">
        <f t="shared" si="75"/>
        <v>-4.7912361870072265E-2</v>
      </c>
      <c r="DL60" s="6">
        <f t="shared" si="76"/>
        <v>6356863.0187730473</v>
      </c>
      <c r="DM60" s="6">
        <f t="shared" si="77"/>
        <v>6.7385254146834087E-3</v>
      </c>
      <c r="DN60" s="72">
        <f t="shared" ca="1" si="78"/>
        <v>6.7384975211760307E-3</v>
      </c>
      <c r="DO60" s="73">
        <f t="shared" ca="1" si="79"/>
        <v>6378245.0883603953</v>
      </c>
      <c r="DP60" s="6">
        <f t="shared" si="80"/>
        <v>1.0050517725429551</v>
      </c>
      <c r="DQ60" s="6">
        <f t="shared" si="81"/>
        <v>-2.5311877419908228E-3</v>
      </c>
      <c r="DR60" s="6">
        <f t="shared" si="82"/>
        <v>2.6558601241364054E-6</v>
      </c>
      <c r="DS60" s="6">
        <f t="shared" si="83"/>
        <v>-3.4165783147131439E-9</v>
      </c>
      <c r="DT60" s="6">
        <f t="shared" si="93"/>
        <v>7</v>
      </c>
      <c r="DU60" s="6">
        <f t="shared" si="93"/>
        <v>0</v>
      </c>
      <c r="DV60" s="6">
        <f t="shared" si="93"/>
        <v>500000</v>
      </c>
      <c r="DW60" s="6">
        <f t="shared" si="93"/>
        <v>1</v>
      </c>
      <c r="DX60" s="74">
        <f t="shared" ca="1" si="84"/>
        <v>12890.030428976437</v>
      </c>
      <c r="DY60" s="58">
        <f t="shared" ca="1" si="85"/>
        <v>-305713.93034284032</v>
      </c>
      <c r="DZ60" s="64">
        <f t="shared" ca="1" si="86"/>
        <v>12904.939659140397</v>
      </c>
      <c r="EA60" s="66">
        <f t="shared" ca="1" si="87"/>
        <v>7194286.06965716</v>
      </c>
    </row>
    <row r="61" spans="10:131" x14ac:dyDescent="0.25">
      <c r="Q61" s="81"/>
      <c r="R61" s="81"/>
      <c r="T61" s="53"/>
      <c r="U61" s="84"/>
      <c r="V61" s="84"/>
      <c r="W61" s="54"/>
      <c r="X61" s="55">
        <f t="shared" si="88"/>
        <v>1</v>
      </c>
      <c r="Y61" s="6">
        <f t="shared" si="88"/>
        <v>-12900</v>
      </c>
      <c r="Z61" s="6">
        <f t="shared" si="88"/>
        <v>250000</v>
      </c>
      <c r="AA61" s="6">
        <f t="shared" si="10"/>
        <v>0</v>
      </c>
      <c r="AB61" s="30">
        <f t="shared" si="8"/>
        <v>12900</v>
      </c>
      <c r="AC61" s="30">
        <f t="shared" si="9"/>
        <v>-250000</v>
      </c>
      <c r="AD61" s="6">
        <f t="shared" si="95"/>
        <v>38.5</v>
      </c>
      <c r="AE61" s="6">
        <f t="shared" si="95"/>
        <v>6378245</v>
      </c>
      <c r="AF61" s="6">
        <f t="shared" si="12"/>
        <v>6356863.0187730473</v>
      </c>
      <c r="AG61" s="6">
        <f t="shared" si="13"/>
        <v>3.352329869259135E-3</v>
      </c>
      <c r="AH61" s="8">
        <f t="shared" si="14"/>
        <v>6.6934216229658618E-3</v>
      </c>
      <c r="AI61" s="56">
        <f t="shared" si="15"/>
        <v>6.7385254146834087E-3</v>
      </c>
      <c r="AJ61" s="57">
        <f t="shared" si="16"/>
        <v>6378245.0883603953</v>
      </c>
      <c r="AK61" s="8">
        <f t="shared" si="17"/>
        <v>2.0361285582720838E-3</v>
      </c>
      <c r="AL61" s="8">
        <f t="shared" si="18"/>
        <v>6367558.4882606138</v>
      </c>
      <c r="AM61" s="8">
        <f t="shared" si="19"/>
        <v>16036.473376007938</v>
      </c>
      <c r="AN61" s="8">
        <f t="shared" si="20"/>
        <v>16.826341825445081</v>
      </c>
      <c r="AO61" s="8">
        <f t="shared" si="21"/>
        <v>2.1689203848674052E-2</v>
      </c>
      <c r="AP61" s="8">
        <f t="shared" si="22"/>
        <v>1.5704606433433228E-7</v>
      </c>
      <c r="AQ61" s="8">
        <f t="shared" si="23"/>
        <v>2.5184636976839014E-3</v>
      </c>
      <c r="AR61" s="8">
        <f t="shared" si="24"/>
        <v>3.70015534400603E-6</v>
      </c>
      <c r="AS61" s="8">
        <f t="shared" si="25"/>
        <v>7.4016654475384287E-9</v>
      </c>
      <c r="AT61" s="8">
        <f t="shared" si="26"/>
        <v>6378245.0884971283</v>
      </c>
      <c r="AU61" s="8">
        <f t="shared" si="27"/>
        <v>8.2088351658514316E-2</v>
      </c>
      <c r="AV61" s="8">
        <f t="shared" si="28"/>
        <v>2.0361313720839145E-3</v>
      </c>
      <c r="AW61" s="8">
        <f t="shared" si="29"/>
        <v>1.0067384974780118</v>
      </c>
      <c r="AX61" s="58">
        <f t="shared" si="30"/>
        <v>2.0345549675285794E-3</v>
      </c>
      <c r="AY61" s="59">
        <f t="shared" si="31"/>
        <v>0</v>
      </c>
      <c r="AZ61" s="60">
        <f t="shared" si="32"/>
        <v>6</v>
      </c>
      <c r="BA61" s="61">
        <f t="shared" si="33"/>
        <v>59.657086176349864</v>
      </c>
      <c r="BB61" s="56">
        <f t="shared" si="34"/>
        <v>0.11657141282676385</v>
      </c>
      <c r="BC61" s="56">
        <f t="shared" si="35"/>
        <v>-3.9185715631620689E-2</v>
      </c>
      <c r="BD61" s="56">
        <f t="shared" si="36"/>
        <v>0.63276604638619627</v>
      </c>
      <c r="BE61" s="56">
        <f t="shared" si="37"/>
        <v>36.254823877108315</v>
      </c>
      <c r="BF61" s="62">
        <f t="shared" si="38"/>
        <v>36</v>
      </c>
      <c r="BG61" s="60">
        <f t="shared" si="39"/>
        <v>15</v>
      </c>
      <c r="BH61" s="63">
        <f t="shared" si="40"/>
        <v>17.365957589933601</v>
      </c>
      <c r="BI61" s="64">
        <f t="shared" si="41"/>
        <v>5143373.1390186641</v>
      </c>
      <c r="BJ61" s="65">
        <f t="shared" si="42"/>
        <v>3771943.1014487948</v>
      </c>
      <c r="BK61" s="66">
        <f t="shared" si="43"/>
        <v>12890.021538123134</v>
      </c>
      <c r="BL61" s="55">
        <f t="shared" si="89"/>
        <v>23.92</v>
      </c>
      <c r="BM61" s="6">
        <f t="shared" si="89"/>
        <v>-141.27000000000001</v>
      </c>
      <c r="BN61" s="6">
        <f t="shared" si="89"/>
        <v>-80.900000000000006</v>
      </c>
      <c r="BO61" s="6">
        <f t="shared" si="89"/>
        <v>0</v>
      </c>
      <c r="BP61" s="6">
        <f t="shared" si="89"/>
        <v>-0.35</v>
      </c>
      <c r="BQ61" s="6">
        <f t="shared" si="89"/>
        <v>-0.82</v>
      </c>
      <c r="BR61" s="6">
        <f t="shared" si="90"/>
        <v>0</v>
      </c>
      <c r="BS61" s="6">
        <f t="shared" si="90"/>
        <v>-1.6968478838833759E-6</v>
      </c>
      <c r="BT61" s="6">
        <f t="shared" si="90"/>
        <v>-3.9754721850981945E-6</v>
      </c>
      <c r="BU61" s="67">
        <f t="shared" si="44"/>
        <v>-0.22</v>
      </c>
      <c r="BV61" s="59">
        <f t="shared" si="45"/>
        <v>5143380.9540973902</v>
      </c>
      <c r="BW61" s="60">
        <f t="shared" si="46"/>
        <v>3771821.4489536658</v>
      </c>
      <c r="BX61" s="68">
        <f t="shared" si="47"/>
        <v>12800.391182411484</v>
      </c>
      <c r="BY61" s="55">
        <f t="shared" si="91"/>
        <v>23.92</v>
      </c>
      <c r="BZ61" s="6">
        <f t="shared" si="91"/>
        <v>-141.27000000000001</v>
      </c>
      <c r="CA61" s="6">
        <f t="shared" si="91"/>
        <v>-80.900000000000006</v>
      </c>
      <c r="CB61" s="6">
        <f t="shared" si="91"/>
        <v>0</v>
      </c>
      <c r="CC61" s="6">
        <f t="shared" si="91"/>
        <v>-0.35</v>
      </c>
      <c r="CD61" s="6">
        <f t="shared" si="91"/>
        <v>-0.82</v>
      </c>
      <c r="CE61" s="6">
        <f t="shared" si="92"/>
        <v>0</v>
      </c>
      <c r="CF61" s="6">
        <f t="shared" si="92"/>
        <v>-1.6968478838833759E-6</v>
      </c>
      <c r="CG61" s="6">
        <f t="shared" si="92"/>
        <v>-3.9754721850981945E-6</v>
      </c>
      <c r="CH61" s="67">
        <f t="shared" si="48"/>
        <v>-0.22</v>
      </c>
      <c r="CI61" s="64">
        <f t="shared" si="49"/>
        <v>5143373.1386954347</v>
      </c>
      <c r="CJ61" s="65">
        <f t="shared" si="50"/>
        <v>3771943.1013819654</v>
      </c>
      <c r="CK61" s="66">
        <f t="shared" si="51"/>
        <v>12890.021535505568</v>
      </c>
      <c r="CL61" s="69">
        <f t="shared" si="52"/>
        <v>6378231.8869665386</v>
      </c>
      <c r="CM61" s="6">
        <f t="shared" si="96"/>
        <v>6378245</v>
      </c>
      <c r="CN61" s="6">
        <f t="shared" si="96"/>
        <v>3.352329869259135E-3</v>
      </c>
      <c r="CO61" s="9">
        <f t="shared" si="54"/>
        <v>6.6934216229659433E-3</v>
      </c>
      <c r="CP61" s="9">
        <f t="shared" si="55"/>
        <v>6378244.911930861</v>
      </c>
      <c r="CQ61" s="9">
        <f t="shared" si="56"/>
        <v>2.0209368702047577E-3</v>
      </c>
      <c r="CR61" s="9">
        <f t="shared" si="57"/>
        <v>3.3467108576934797E-3</v>
      </c>
      <c r="CS61" s="9">
        <f t="shared" ca="1" si="58"/>
        <v>1.3618097007062995E-5</v>
      </c>
      <c r="CT61" s="9">
        <f t="shared" ca="1" si="59"/>
        <v>2.0345549672118207E-3</v>
      </c>
      <c r="CU61" s="46">
        <f t="shared" ca="1" si="94"/>
        <v>1.3618097007062995E-5</v>
      </c>
      <c r="CV61" s="70">
        <f t="shared" ca="1" si="60"/>
        <v>0</v>
      </c>
      <c r="CW61" s="71">
        <f t="shared" ca="1" si="61"/>
        <v>2.0345549672118207E-3</v>
      </c>
      <c r="CX61" s="59">
        <f t="shared" ca="1" si="62"/>
        <v>0</v>
      </c>
      <c r="CY61" s="60">
        <f t="shared" ca="1" si="63"/>
        <v>6</v>
      </c>
      <c r="CZ61" s="61">
        <f t="shared" ca="1" si="64"/>
        <v>59.6571</v>
      </c>
      <c r="DA61" s="9">
        <f t="shared" ca="1" si="65"/>
        <v>0.11657141280861491</v>
      </c>
      <c r="DB61" s="9">
        <f t="shared" si="66"/>
        <v>0.63276604640771628</v>
      </c>
      <c r="DC61" s="9">
        <f t="shared" si="67"/>
        <v>0</v>
      </c>
      <c r="DD61" s="9">
        <f t="shared" si="68"/>
        <v>0.63276604640771628</v>
      </c>
      <c r="DE61" s="60">
        <f t="shared" si="69"/>
        <v>36</v>
      </c>
      <c r="DF61" s="60">
        <f t="shared" si="70"/>
        <v>15</v>
      </c>
      <c r="DG61" s="61">
        <f t="shared" si="71"/>
        <v>17.366</v>
      </c>
      <c r="DH61" s="9">
        <f t="shared" si="72"/>
        <v>36.254823878341327</v>
      </c>
      <c r="DI61" s="66">
        <f t="shared" ca="1" si="73"/>
        <v>-3.001755103468895E-4</v>
      </c>
      <c r="DJ61" s="55">
        <f t="shared" si="74"/>
        <v>39</v>
      </c>
      <c r="DK61" s="6">
        <f t="shared" si="75"/>
        <v>-4.7912361870072265E-2</v>
      </c>
      <c r="DL61" s="6">
        <f t="shared" si="76"/>
        <v>6356863.0187730473</v>
      </c>
      <c r="DM61" s="6">
        <f t="shared" si="77"/>
        <v>6.7385254146834087E-3</v>
      </c>
      <c r="DN61" s="72">
        <f t="shared" ca="1" si="78"/>
        <v>6.7384975211760307E-3</v>
      </c>
      <c r="DO61" s="73">
        <f t="shared" ca="1" si="79"/>
        <v>6378245.0883603953</v>
      </c>
      <c r="DP61" s="6">
        <f t="shared" si="80"/>
        <v>1.0050517725429551</v>
      </c>
      <c r="DQ61" s="6">
        <f t="shared" si="81"/>
        <v>-2.5311877419908228E-3</v>
      </c>
      <c r="DR61" s="6">
        <f t="shared" si="82"/>
        <v>2.6558601241364054E-6</v>
      </c>
      <c r="DS61" s="6">
        <f t="shared" si="83"/>
        <v>-3.4165783147131439E-9</v>
      </c>
      <c r="DT61" s="6">
        <f t="shared" si="93"/>
        <v>7</v>
      </c>
      <c r="DU61" s="6">
        <f t="shared" si="93"/>
        <v>0</v>
      </c>
      <c r="DV61" s="6">
        <f t="shared" si="93"/>
        <v>500000</v>
      </c>
      <c r="DW61" s="6">
        <f t="shared" si="93"/>
        <v>1</v>
      </c>
      <c r="DX61" s="74">
        <f t="shared" ca="1" si="84"/>
        <v>12890.030428976437</v>
      </c>
      <c r="DY61" s="58">
        <f t="shared" ca="1" si="85"/>
        <v>-305713.93034284032</v>
      </c>
      <c r="DZ61" s="64">
        <f t="shared" ca="1" si="86"/>
        <v>12904.939659140397</v>
      </c>
      <c r="EA61" s="66">
        <f t="shared" ca="1" si="87"/>
        <v>7194286.06965716</v>
      </c>
    </row>
    <row r="62" spans="10:131" x14ac:dyDescent="0.25">
      <c r="Q62" s="81"/>
      <c r="R62" s="81"/>
      <c r="T62" s="53"/>
      <c r="U62" s="84"/>
      <c r="V62" s="84"/>
      <c r="W62" s="54"/>
      <c r="X62" s="55">
        <f t="shared" si="88"/>
        <v>1</v>
      </c>
      <c r="Y62" s="6">
        <f t="shared" si="88"/>
        <v>-12900</v>
      </c>
      <c r="Z62" s="6">
        <f t="shared" si="88"/>
        <v>250000</v>
      </c>
      <c r="AA62" s="6">
        <f t="shared" si="10"/>
        <v>0</v>
      </c>
      <c r="AB62" s="30">
        <f t="shared" si="8"/>
        <v>12900</v>
      </c>
      <c r="AC62" s="30">
        <f t="shared" si="9"/>
        <v>-250000</v>
      </c>
      <c r="AD62" s="6">
        <f t="shared" si="95"/>
        <v>38.5</v>
      </c>
      <c r="AE62" s="6">
        <f t="shared" si="95"/>
        <v>6378245</v>
      </c>
      <c r="AF62" s="6">
        <f t="shared" si="12"/>
        <v>6356863.0187730473</v>
      </c>
      <c r="AG62" s="6">
        <f t="shared" si="13"/>
        <v>3.352329869259135E-3</v>
      </c>
      <c r="AH62" s="8">
        <f t="shared" si="14"/>
        <v>6.6934216229658618E-3</v>
      </c>
      <c r="AI62" s="56">
        <f t="shared" si="15"/>
        <v>6.7385254146834087E-3</v>
      </c>
      <c r="AJ62" s="57">
        <f t="shared" si="16"/>
        <v>6378245.0883603953</v>
      </c>
      <c r="AK62" s="8">
        <f t="shared" si="17"/>
        <v>2.0361285582720838E-3</v>
      </c>
      <c r="AL62" s="8">
        <f t="shared" si="18"/>
        <v>6367558.4882606138</v>
      </c>
      <c r="AM62" s="8">
        <f t="shared" si="19"/>
        <v>16036.473376007938</v>
      </c>
      <c r="AN62" s="8">
        <f t="shared" si="20"/>
        <v>16.826341825445081</v>
      </c>
      <c r="AO62" s="8">
        <f t="shared" si="21"/>
        <v>2.1689203848674052E-2</v>
      </c>
      <c r="AP62" s="8">
        <f t="shared" si="22"/>
        <v>1.5704606433433228E-7</v>
      </c>
      <c r="AQ62" s="8">
        <f t="shared" si="23"/>
        <v>2.5184636976839014E-3</v>
      </c>
      <c r="AR62" s="8">
        <f t="shared" si="24"/>
        <v>3.70015534400603E-6</v>
      </c>
      <c r="AS62" s="8">
        <f t="shared" si="25"/>
        <v>7.4016654475384287E-9</v>
      </c>
      <c r="AT62" s="8">
        <f t="shared" si="26"/>
        <v>6378245.0884971283</v>
      </c>
      <c r="AU62" s="8">
        <f t="shared" si="27"/>
        <v>8.2088351658514316E-2</v>
      </c>
      <c r="AV62" s="8">
        <f t="shared" si="28"/>
        <v>2.0361313720839145E-3</v>
      </c>
      <c r="AW62" s="8">
        <f t="shared" si="29"/>
        <v>1.0067384974780118</v>
      </c>
      <c r="AX62" s="58">
        <f t="shared" si="30"/>
        <v>2.0345549675285794E-3</v>
      </c>
      <c r="AY62" s="59">
        <f t="shared" si="31"/>
        <v>0</v>
      </c>
      <c r="AZ62" s="60">
        <f t="shared" si="32"/>
        <v>6</v>
      </c>
      <c r="BA62" s="61">
        <f t="shared" si="33"/>
        <v>59.657086176349864</v>
      </c>
      <c r="BB62" s="56">
        <f t="shared" si="34"/>
        <v>0.11657141282676385</v>
      </c>
      <c r="BC62" s="56">
        <f t="shared" si="35"/>
        <v>-3.9185715631620689E-2</v>
      </c>
      <c r="BD62" s="56">
        <f t="shared" si="36"/>
        <v>0.63276604638619627</v>
      </c>
      <c r="BE62" s="56">
        <f t="shared" si="37"/>
        <v>36.254823877108315</v>
      </c>
      <c r="BF62" s="62">
        <f t="shared" si="38"/>
        <v>36</v>
      </c>
      <c r="BG62" s="60">
        <f t="shared" si="39"/>
        <v>15</v>
      </c>
      <c r="BH62" s="63">
        <f t="shared" si="40"/>
        <v>17.365957589933601</v>
      </c>
      <c r="BI62" s="64">
        <f t="shared" si="41"/>
        <v>5143373.1390186641</v>
      </c>
      <c r="BJ62" s="65">
        <f t="shared" si="42"/>
        <v>3771943.1014487948</v>
      </c>
      <c r="BK62" s="66">
        <f t="shared" si="43"/>
        <v>12890.021538123134</v>
      </c>
      <c r="BL62" s="55">
        <f t="shared" si="89"/>
        <v>23.92</v>
      </c>
      <c r="BM62" s="6">
        <f t="shared" si="89"/>
        <v>-141.27000000000001</v>
      </c>
      <c r="BN62" s="6">
        <f t="shared" si="89"/>
        <v>-80.900000000000006</v>
      </c>
      <c r="BO62" s="6">
        <f t="shared" si="89"/>
        <v>0</v>
      </c>
      <c r="BP62" s="6">
        <f t="shared" si="89"/>
        <v>-0.35</v>
      </c>
      <c r="BQ62" s="6">
        <f t="shared" si="89"/>
        <v>-0.82</v>
      </c>
      <c r="BR62" s="6">
        <f t="shared" si="90"/>
        <v>0</v>
      </c>
      <c r="BS62" s="6">
        <f t="shared" si="90"/>
        <v>-1.6968478838833759E-6</v>
      </c>
      <c r="BT62" s="6">
        <f t="shared" si="90"/>
        <v>-3.9754721850981945E-6</v>
      </c>
      <c r="BU62" s="67">
        <f t="shared" si="44"/>
        <v>-0.22</v>
      </c>
      <c r="BV62" s="59">
        <f t="shared" si="45"/>
        <v>5143380.9540973902</v>
      </c>
      <c r="BW62" s="60">
        <f t="shared" si="46"/>
        <v>3771821.4489536658</v>
      </c>
      <c r="BX62" s="68">
        <f t="shared" si="47"/>
        <v>12800.391182411484</v>
      </c>
      <c r="BY62" s="55">
        <f t="shared" si="91"/>
        <v>23.92</v>
      </c>
      <c r="BZ62" s="6">
        <f t="shared" si="91"/>
        <v>-141.27000000000001</v>
      </c>
      <c r="CA62" s="6">
        <f t="shared" si="91"/>
        <v>-80.900000000000006</v>
      </c>
      <c r="CB62" s="6">
        <f t="shared" si="91"/>
        <v>0</v>
      </c>
      <c r="CC62" s="6">
        <f t="shared" si="91"/>
        <v>-0.35</v>
      </c>
      <c r="CD62" s="6">
        <f t="shared" si="91"/>
        <v>-0.82</v>
      </c>
      <c r="CE62" s="6">
        <f t="shared" si="92"/>
        <v>0</v>
      </c>
      <c r="CF62" s="6">
        <f t="shared" si="92"/>
        <v>-1.6968478838833759E-6</v>
      </c>
      <c r="CG62" s="6">
        <f t="shared" si="92"/>
        <v>-3.9754721850981945E-6</v>
      </c>
      <c r="CH62" s="67">
        <f t="shared" si="48"/>
        <v>-0.22</v>
      </c>
      <c r="CI62" s="64">
        <f t="shared" si="49"/>
        <v>5143373.1386954347</v>
      </c>
      <c r="CJ62" s="65">
        <f t="shared" si="50"/>
        <v>3771943.1013819654</v>
      </c>
      <c r="CK62" s="66">
        <f t="shared" si="51"/>
        <v>12890.021535505568</v>
      </c>
      <c r="CL62" s="69">
        <f t="shared" si="52"/>
        <v>6378231.8869665386</v>
      </c>
      <c r="CM62" s="6">
        <f t="shared" si="96"/>
        <v>6378245</v>
      </c>
      <c r="CN62" s="6">
        <f t="shared" si="96"/>
        <v>3.352329869259135E-3</v>
      </c>
      <c r="CO62" s="9">
        <f t="shared" si="54"/>
        <v>6.6934216229659433E-3</v>
      </c>
      <c r="CP62" s="9">
        <f t="shared" si="55"/>
        <v>6378244.911930861</v>
      </c>
      <c r="CQ62" s="9">
        <f t="shared" si="56"/>
        <v>2.0209368702047577E-3</v>
      </c>
      <c r="CR62" s="9">
        <f t="shared" si="57"/>
        <v>3.3467108576934797E-3</v>
      </c>
      <c r="CS62" s="9">
        <f t="shared" ca="1" si="58"/>
        <v>1.3618097007062995E-5</v>
      </c>
      <c r="CT62" s="9">
        <f t="shared" ca="1" si="59"/>
        <v>2.0345549672118207E-3</v>
      </c>
      <c r="CU62" s="46">
        <f t="shared" ca="1" si="94"/>
        <v>1.3618097007062995E-5</v>
      </c>
      <c r="CV62" s="70">
        <f t="shared" ca="1" si="60"/>
        <v>0</v>
      </c>
      <c r="CW62" s="71">
        <f t="shared" ca="1" si="61"/>
        <v>2.0345549672118207E-3</v>
      </c>
      <c r="CX62" s="59">
        <f t="shared" ca="1" si="62"/>
        <v>0</v>
      </c>
      <c r="CY62" s="60">
        <f t="shared" ca="1" si="63"/>
        <v>6</v>
      </c>
      <c r="CZ62" s="61">
        <f t="shared" ca="1" si="64"/>
        <v>59.6571</v>
      </c>
      <c r="DA62" s="9">
        <f t="shared" ca="1" si="65"/>
        <v>0.11657141280861491</v>
      </c>
      <c r="DB62" s="9">
        <f t="shared" si="66"/>
        <v>0.63276604640771628</v>
      </c>
      <c r="DC62" s="9">
        <f t="shared" si="67"/>
        <v>0</v>
      </c>
      <c r="DD62" s="9">
        <f t="shared" si="68"/>
        <v>0.63276604640771628</v>
      </c>
      <c r="DE62" s="60">
        <f t="shared" si="69"/>
        <v>36</v>
      </c>
      <c r="DF62" s="60">
        <f t="shared" si="70"/>
        <v>15</v>
      </c>
      <c r="DG62" s="61">
        <f t="shared" si="71"/>
        <v>17.366</v>
      </c>
      <c r="DH62" s="9">
        <f t="shared" si="72"/>
        <v>36.254823878341327</v>
      </c>
      <c r="DI62" s="66">
        <f t="shared" ca="1" si="73"/>
        <v>-3.001755103468895E-4</v>
      </c>
      <c r="DJ62" s="55">
        <f t="shared" si="74"/>
        <v>39</v>
      </c>
      <c r="DK62" s="6">
        <f t="shared" si="75"/>
        <v>-4.7912361870072265E-2</v>
      </c>
      <c r="DL62" s="6">
        <f t="shared" si="76"/>
        <v>6356863.0187730473</v>
      </c>
      <c r="DM62" s="6">
        <f t="shared" si="77"/>
        <v>6.7385254146834087E-3</v>
      </c>
      <c r="DN62" s="72">
        <f t="shared" ca="1" si="78"/>
        <v>6.7384975211760307E-3</v>
      </c>
      <c r="DO62" s="73">
        <f t="shared" ca="1" si="79"/>
        <v>6378245.0883603953</v>
      </c>
      <c r="DP62" s="6">
        <f t="shared" si="80"/>
        <v>1.0050517725429551</v>
      </c>
      <c r="DQ62" s="6">
        <f t="shared" si="81"/>
        <v>-2.5311877419908228E-3</v>
      </c>
      <c r="DR62" s="6">
        <f t="shared" si="82"/>
        <v>2.6558601241364054E-6</v>
      </c>
      <c r="DS62" s="6">
        <f t="shared" si="83"/>
        <v>-3.4165783147131439E-9</v>
      </c>
      <c r="DT62" s="6">
        <f t="shared" si="93"/>
        <v>7</v>
      </c>
      <c r="DU62" s="6">
        <f t="shared" si="93"/>
        <v>0</v>
      </c>
      <c r="DV62" s="6">
        <f t="shared" si="93"/>
        <v>500000</v>
      </c>
      <c r="DW62" s="6">
        <f t="shared" si="93"/>
        <v>1</v>
      </c>
      <c r="DX62" s="74">
        <f t="shared" ca="1" si="84"/>
        <v>12890.030428976437</v>
      </c>
      <c r="DY62" s="58">
        <f t="shared" ca="1" si="85"/>
        <v>-305713.93034284032</v>
      </c>
      <c r="DZ62" s="64">
        <f t="shared" ca="1" si="86"/>
        <v>12904.939659140397</v>
      </c>
      <c r="EA62" s="66">
        <f t="shared" ca="1" si="87"/>
        <v>7194286.06965716</v>
      </c>
    </row>
    <row r="63" spans="10:131" x14ac:dyDescent="0.25">
      <c r="Q63" s="81"/>
      <c r="R63" s="81"/>
      <c r="T63" s="53"/>
      <c r="U63" s="84"/>
      <c r="V63" s="84"/>
      <c r="W63" s="54"/>
      <c r="X63" s="55">
        <f t="shared" si="88"/>
        <v>1</v>
      </c>
      <c r="Y63" s="6">
        <f t="shared" si="88"/>
        <v>-12900</v>
      </c>
      <c r="Z63" s="6">
        <f t="shared" si="88"/>
        <v>250000</v>
      </c>
      <c r="AA63" s="6">
        <f t="shared" si="10"/>
        <v>0</v>
      </c>
      <c r="AB63" s="30">
        <f t="shared" si="8"/>
        <v>12900</v>
      </c>
      <c r="AC63" s="30">
        <f t="shared" si="9"/>
        <v>-250000</v>
      </c>
      <c r="AD63" s="6">
        <f t="shared" si="95"/>
        <v>38.5</v>
      </c>
      <c r="AE63" s="6">
        <f t="shared" si="95"/>
        <v>6378245</v>
      </c>
      <c r="AF63" s="6">
        <f t="shared" si="12"/>
        <v>6356863.0187730473</v>
      </c>
      <c r="AG63" s="6">
        <f t="shared" si="13"/>
        <v>3.352329869259135E-3</v>
      </c>
      <c r="AH63" s="8">
        <f t="shared" si="14"/>
        <v>6.6934216229658618E-3</v>
      </c>
      <c r="AI63" s="56">
        <f t="shared" si="15"/>
        <v>6.7385254146834087E-3</v>
      </c>
      <c r="AJ63" s="57">
        <f t="shared" si="16"/>
        <v>6378245.0883603953</v>
      </c>
      <c r="AK63" s="8">
        <f t="shared" si="17"/>
        <v>2.0361285582720838E-3</v>
      </c>
      <c r="AL63" s="8">
        <f t="shared" si="18"/>
        <v>6367558.4882606138</v>
      </c>
      <c r="AM63" s="8">
        <f t="shared" si="19"/>
        <v>16036.473376007938</v>
      </c>
      <c r="AN63" s="8">
        <f t="shared" si="20"/>
        <v>16.826341825445081</v>
      </c>
      <c r="AO63" s="8">
        <f t="shared" si="21"/>
        <v>2.1689203848674052E-2</v>
      </c>
      <c r="AP63" s="8">
        <f t="shared" si="22"/>
        <v>1.5704606433433228E-7</v>
      </c>
      <c r="AQ63" s="8">
        <f t="shared" si="23"/>
        <v>2.5184636976839014E-3</v>
      </c>
      <c r="AR63" s="8">
        <f t="shared" si="24"/>
        <v>3.70015534400603E-6</v>
      </c>
      <c r="AS63" s="8">
        <f t="shared" si="25"/>
        <v>7.4016654475384287E-9</v>
      </c>
      <c r="AT63" s="8">
        <f t="shared" si="26"/>
        <v>6378245.0884971283</v>
      </c>
      <c r="AU63" s="8">
        <f t="shared" si="27"/>
        <v>8.2088351658514316E-2</v>
      </c>
      <c r="AV63" s="8">
        <f t="shared" si="28"/>
        <v>2.0361313720839145E-3</v>
      </c>
      <c r="AW63" s="8">
        <f t="shared" si="29"/>
        <v>1.0067384974780118</v>
      </c>
      <c r="AX63" s="58">
        <f t="shared" si="30"/>
        <v>2.0345549675285794E-3</v>
      </c>
      <c r="AY63" s="59">
        <f t="shared" si="31"/>
        <v>0</v>
      </c>
      <c r="AZ63" s="60">
        <f t="shared" si="32"/>
        <v>6</v>
      </c>
      <c r="BA63" s="61">
        <f t="shared" si="33"/>
        <v>59.657086176349864</v>
      </c>
      <c r="BB63" s="56">
        <f t="shared" si="34"/>
        <v>0.11657141282676385</v>
      </c>
      <c r="BC63" s="56">
        <f t="shared" si="35"/>
        <v>-3.9185715631620689E-2</v>
      </c>
      <c r="BD63" s="56">
        <f t="shared" si="36"/>
        <v>0.63276604638619627</v>
      </c>
      <c r="BE63" s="56">
        <f t="shared" si="37"/>
        <v>36.254823877108315</v>
      </c>
      <c r="BF63" s="62">
        <f t="shared" si="38"/>
        <v>36</v>
      </c>
      <c r="BG63" s="60">
        <f t="shared" si="39"/>
        <v>15</v>
      </c>
      <c r="BH63" s="63">
        <f t="shared" si="40"/>
        <v>17.365957589933601</v>
      </c>
      <c r="BI63" s="64">
        <f t="shared" si="41"/>
        <v>5143373.1390186641</v>
      </c>
      <c r="BJ63" s="65">
        <f t="shared" si="42"/>
        <v>3771943.1014487948</v>
      </c>
      <c r="BK63" s="66">
        <f t="shared" si="43"/>
        <v>12890.021538123134</v>
      </c>
      <c r="BL63" s="55">
        <f t="shared" si="89"/>
        <v>23.92</v>
      </c>
      <c r="BM63" s="6">
        <f t="shared" si="89"/>
        <v>-141.27000000000001</v>
      </c>
      <c r="BN63" s="6">
        <f t="shared" si="89"/>
        <v>-80.900000000000006</v>
      </c>
      <c r="BO63" s="6">
        <f t="shared" si="89"/>
        <v>0</v>
      </c>
      <c r="BP63" s="6">
        <f t="shared" si="89"/>
        <v>-0.35</v>
      </c>
      <c r="BQ63" s="6">
        <f t="shared" si="89"/>
        <v>-0.82</v>
      </c>
      <c r="BR63" s="6">
        <f t="shared" si="90"/>
        <v>0</v>
      </c>
      <c r="BS63" s="6">
        <f t="shared" si="90"/>
        <v>-1.6968478838833759E-6</v>
      </c>
      <c r="BT63" s="6">
        <f t="shared" si="90"/>
        <v>-3.9754721850981945E-6</v>
      </c>
      <c r="BU63" s="67">
        <f t="shared" si="44"/>
        <v>-0.22</v>
      </c>
      <c r="BV63" s="59">
        <f t="shared" si="45"/>
        <v>5143380.9540973902</v>
      </c>
      <c r="BW63" s="60">
        <f t="shared" si="46"/>
        <v>3771821.4489536658</v>
      </c>
      <c r="BX63" s="68">
        <f t="shared" si="47"/>
        <v>12800.391182411484</v>
      </c>
      <c r="BY63" s="55">
        <f t="shared" si="91"/>
        <v>23.92</v>
      </c>
      <c r="BZ63" s="6">
        <f t="shared" si="91"/>
        <v>-141.27000000000001</v>
      </c>
      <c r="CA63" s="6">
        <f t="shared" si="91"/>
        <v>-80.900000000000006</v>
      </c>
      <c r="CB63" s="6">
        <f t="shared" si="91"/>
        <v>0</v>
      </c>
      <c r="CC63" s="6">
        <f t="shared" si="91"/>
        <v>-0.35</v>
      </c>
      <c r="CD63" s="6">
        <f t="shared" si="91"/>
        <v>-0.82</v>
      </c>
      <c r="CE63" s="6">
        <f t="shared" si="92"/>
        <v>0</v>
      </c>
      <c r="CF63" s="6">
        <f t="shared" si="92"/>
        <v>-1.6968478838833759E-6</v>
      </c>
      <c r="CG63" s="6">
        <f t="shared" si="92"/>
        <v>-3.9754721850981945E-6</v>
      </c>
      <c r="CH63" s="67">
        <f t="shared" si="48"/>
        <v>-0.22</v>
      </c>
      <c r="CI63" s="64">
        <f t="shared" si="49"/>
        <v>5143373.1386954347</v>
      </c>
      <c r="CJ63" s="65">
        <f t="shared" si="50"/>
        <v>3771943.1013819654</v>
      </c>
      <c r="CK63" s="66">
        <f t="shared" si="51"/>
        <v>12890.021535505568</v>
      </c>
      <c r="CL63" s="69">
        <f t="shared" si="52"/>
        <v>6378231.8869665386</v>
      </c>
      <c r="CM63" s="6">
        <f t="shared" si="96"/>
        <v>6378245</v>
      </c>
      <c r="CN63" s="6">
        <f t="shared" si="96"/>
        <v>3.352329869259135E-3</v>
      </c>
      <c r="CO63" s="9">
        <f t="shared" si="54"/>
        <v>6.6934216229659433E-3</v>
      </c>
      <c r="CP63" s="9">
        <f t="shared" si="55"/>
        <v>6378244.911930861</v>
      </c>
      <c r="CQ63" s="9">
        <f t="shared" si="56"/>
        <v>2.0209368702047577E-3</v>
      </c>
      <c r="CR63" s="9">
        <f t="shared" si="57"/>
        <v>3.3467108576934797E-3</v>
      </c>
      <c r="CS63" s="9">
        <f t="shared" ca="1" si="58"/>
        <v>1.3618097007062995E-5</v>
      </c>
      <c r="CT63" s="9">
        <f t="shared" ca="1" si="59"/>
        <v>2.0345549672118207E-3</v>
      </c>
      <c r="CU63" s="46">
        <f t="shared" ca="1" si="94"/>
        <v>1.3618097007062995E-5</v>
      </c>
      <c r="CV63" s="70">
        <f t="shared" ca="1" si="60"/>
        <v>0</v>
      </c>
      <c r="CW63" s="71">
        <f t="shared" ca="1" si="61"/>
        <v>2.0345549672118207E-3</v>
      </c>
      <c r="CX63" s="59">
        <f t="shared" ca="1" si="62"/>
        <v>0</v>
      </c>
      <c r="CY63" s="60">
        <f t="shared" ca="1" si="63"/>
        <v>6</v>
      </c>
      <c r="CZ63" s="61">
        <f t="shared" ca="1" si="64"/>
        <v>59.6571</v>
      </c>
      <c r="DA63" s="9">
        <f t="shared" ca="1" si="65"/>
        <v>0.11657141280861491</v>
      </c>
      <c r="DB63" s="9">
        <f t="shared" si="66"/>
        <v>0.63276604640771628</v>
      </c>
      <c r="DC63" s="9">
        <f t="shared" si="67"/>
        <v>0</v>
      </c>
      <c r="DD63" s="9">
        <f t="shared" si="68"/>
        <v>0.63276604640771628</v>
      </c>
      <c r="DE63" s="60">
        <f t="shared" si="69"/>
        <v>36</v>
      </c>
      <c r="DF63" s="60">
        <f t="shared" si="70"/>
        <v>15</v>
      </c>
      <c r="DG63" s="61">
        <f t="shared" si="71"/>
        <v>17.366</v>
      </c>
      <c r="DH63" s="9">
        <f t="shared" si="72"/>
        <v>36.254823878341327</v>
      </c>
      <c r="DI63" s="66">
        <f t="shared" ca="1" si="73"/>
        <v>-3.001755103468895E-4</v>
      </c>
      <c r="DJ63" s="55">
        <f t="shared" si="74"/>
        <v>39</v>
      </c>
      <c r="DK63" s="6">
        <f t="shared" si="75"/>
        <v>-4.7912361870072265E-2</v>
      </c>
      <c r="DL63" s="6">
        <f t="shared" si="76"/>
        <v>6356863.0187730473</v>
      </c>
      <c r="DM63" s="6">
        <f t="shared" si="77"/>
        <v>6.7385254146834087E-3</v>
      </c>
      <c r="DN63" s="72">
        <f t="shared" ca="1" si="78"/>
        <v>6.7384975211760307E-3</v>
      </c>
      <c r="DO63" s="73">
        <f t="shared" ca="1" si="79"/>
        <v>6378245.0883603953</v>
      </c>
      <c r="DP63" s="6">
        <f t="shared" si="80"/>
        <v>1.0050517725429551</v>
      </c>
      <c r="DQ63" s="6">
        <f t="shared" si="81"/>
        <v>-2.5311877419908228E-3</v>
      </c>
      <c r="DR63" s="6">
        <f t="shared" si="82"/>
        <v>2.6558601241364054E-6</v>
      </c>
      <c r="DS63" s="6">
        <f t="shared" si="83"/>
        <v>-3.4165783147131439E-9</v>
      </c>
      <c r="DT63" s="6">
        <f t="shared" si="93"/>
        <v>7</v>
      </c>
      <c r="DU63" s="6">
        <f t="shared" si="93"/>
        <v>0</v>
      </c>
      <c r="DV63" s="6">
        <f t="shared" si="93"/>
        <v>500000</v>
      </c>
      <c r="DW63" s="6">
        <f t="shared" si="93"/>
        <v>1</v>
      </c>
      <c r="DX63" s="74">
        <f t="shared" ca="1" si="84"/>
        <v>12890.030428976437</v>
      </c>
      <c r="DY63" s="58">
        <f t="shared" ca="1" si="85"/>
        <v>-305713.93034284032</v>
      </c>
      <c r="DZ63" s="64">
        <f t="shared" ca="1" si="86"/>
        <v>12904.939659140397</v>
      </c>
      <c r="EA63" s="66">
        <f t="shared" ca="1" si="87"/>
        <v>7194286.06965716</v>
      </c>
    </row>
    <row r="64" spans="10:131" x14ac:dyDescent="0.25">
      <c r="Q64" s="81"/>
      <c r="R64" s="81"/>
      <c r="T64" s="53"/>
      <c r="U64" s="84"/>
      <c r="V64" s="84"/>
      <c r="W64" s="54"/>
      <c r="X64" s="55">
        <f t="shared" si="88"/>
        <v>1</v>
      </c>
      <c r="Y64" s="6">
        <f t="shared" si="88"/>
        <v>-12900</v>
      </c>
      <c r="Z64" s="6">
        <f t="shared" si="88"/>
        <v>250000</v>
      </c>
      <c r="AA64" s="6">
        <f t="shared" si="10"/>
        <v>0</v>
      </c>
      <c r="AB64" s="30">
        <f t="shared" si="8"/>
        <v>12900</v>
      </c>
      <c r="AC64" s="30">
        <f t="shared" si="9"/>
        <v>-250000</v>
      </c>
      <c r="AD64" s="6">
        <f t="shared" si="95"/>
        <v>38.5</v>
      </c>
      <c r="AE64" s="6">
        <f t="shared" si="95"/>
        <v>6378245</v>
      </c>
      <c r="AF64" s="6">
        <f t="shared" si="12"/>
        <v>6356863.0187730473</v>
      </c>
      <c r="AG64" s="6">
        <f t="shared" si="13"/>
        <v>3.352329869259135E-3</v>
      </c>
      <c r="AH64" s="8">
        <f t="shared" si="14"/>
        <v>6.6934216229658618E-3</v>
      </c>
      <c r="AI64" s="56">
        <f t="shared" si="15"/>
        <v>6.7385254146834087E-3</v>
      </c>
      <c r="AJ64" s="57">
        <f t="shared" si="16"/>
        <v>6378245.0883603953</v>
      </c>
      <c r="AK64" s="8">
        <f t="shared" si="17"/>
        <v>2.0361285582720838E-3</v>
      </c>
      <c r="AL64" s="8">
        <f t="shared" si="18"/>
        <v>6367558.4882606138</v>
      </c>
      <c r="AM64" s="8">
        <f t="shared" si="19"/>
        <v>16036.473376007938</v>
      </c>
      <c r="AN64" s="8">
        <f t="shared" si="20"/>
        <v>16.826341825445081</v>
      </c>
      <c r="AO64" s="8">
        <f t="shared" si="21"/>
        <v>2.1689203848674052E-2</v>
      </c>
      <c r="AP64" s="8">
        <f t="shared" si="22"/>
        <v>1.5704606433433228E-7</v>
      </c>
      <c r="AQ64" s="8">
        <f t="shared" si="23"/>
        <v>2.5184636976839014E-3</v>
      </c>
      <c r="AR64" s="8">
        <f t="shared" si="24"/>
        <v>3.70015534400603E-6</v>
      </c>
      <c r="AS64" s="8">
        <f t="shared" si="25"/>
        <v>7.4016654475384287E-9</v>
      </c>
      <c r="AT64" s="8">
        <f t="shared" si="26"/>
        <v>6378245.0884971283</v>
      </c>
      <c r="AU64" s="8">
        <f t="shared" si="27"/>
        <v>8.2088351658514316E-2</v>
      </c>
      <c r="AV64" s="8">
        <f t="shared" si="28"/>
        <v>2.0361313720839145E-3</v>
      </c>
      <c r="AW64" s="8">
        <f t="shared" si="29"/>
        <v>1.0067384974780118</v>
      </c>
      <c r="AX64" s="58">
        <f t="shared" si="30"/>
        <v>2.0345549675285794E-3</v>
      </c>
      <c r="AY64" s="59">
        <f t="shared" si="31"/>
        <v>0</v>
      </c>
      <c r="AZ64" s="60">
        <f t="shared" si="32"/>
        <v>6</v>
      </c>
      <c r="BA64" s="61">
        <f t="shared" si="33"/>
        <v>59.657086176349864</v>
      </c>
      <c r="BB64" s="56">
        <f t="shared" si="34"/>
        <v>0.11657141282676385</v>
      </c>
      <c r="BC64" s="56">
        <f t="shared" si="35"/>
        <v>-3.9185715631620689E-2</v>
      </c>
      <c r="BD64" s="56">
        <f t="shared" si="36"/>
        <v>0.63276604638619627</v>
      </c>
      <c r="BE64" s="56">
        <f t="shared" si="37"/>
        <v>36.254823877108315</v>
      </c>
      <c r="BF64" s="62">
        <f t="shared" si="38"/>
        <v>36</v>
      </c>
      <c r="BG64" s="60">
        <f t="shared" si="39"/>
        <v>15</v>
      </c>
      <c r="BH64" s="63">
        <f t="shared" si="40"/>
        <v>17.365957589933601</v>
      </c>
      <c r="BI64" s="64">
        <f t="shared" si="41"/>
        <v>5143373.1390186641</v>
      </c>
      <c r="BJ64" s="65">
        <f t="shared" si="42"/>
        <v>3771943.1014487948</v>
      </c>
      <c r="BK64" s="66">
        <f t="shared" si="43"/>
        <v>12890.021538123134</v>
      </c>
      <c r="BL64" s="55">
        <f t="shared" si="89"/>
        <v>23.92</v>
      </c>
      <c r="BM64" s="6">
        <f t="shared" si="89"/>
        <v>-141.27000000000001</v>
      </c>
      <c r="BN64" s="6">
        <f t="shared" si="89"/>
        <v>-80.900000000000006</v>
      </c>
      <c r="BO64" s="6">
        <f t="shared" si="89"/>
        <v>0</v>
      </c>
      <c r="BP64" s="6">
        <f t="shared" si="89"/>
        <v>-0.35</v>
      </c>
      <c r="BQ64" s="6">
        <f t="shared" si="89"/>
        <v>-0.82</v>
      </c>
      <c r="BR64" s="6">
        <f t="shared" si="90"/>
        <v>0</v>
      </c>
      <c r="BS64" s="6">
        <f t="shared" si="90"/>
        <v>-1.6968478838833759E-6</v>
      </c>
      <c r="BT64" s="6">
        <f t="shared" si="90"/>
        <v>-3.9754721850981945E-6</v>
      </c>
      <c r="BU64" s="67">
        <f t="shared" si="44"/>
        <v>-0.22</v>
      </c>
      <c r="BV64" s="59">
        <f t="shared" si="45"/>
        <v>5143380.9540973902</v>
      </c>
      <c r="BW64" s="60">
        <f t="shared" si="46"/>
        <v>3771821.4489536658</v>
      </c>
      <c r="BX64" s="68">
        <f t="shared" si="47"/>
        <v>12800.391182411484</v>
      </c>
      <c r="BY64" s="55">
        <f t="shared" si="91"/>
        <v>23.92</v>
      </c>
      <c r="BZ64" s="6">
        <f t="shared" si="91"/>
        <v>-141.27000000000001</v>
      </c>
      <c r="CA64" s="6">
        <f t="shared" si="91"/>
        <v>-80.900000000000006</v>
      </c>
      <c r="CB64" s="6">
        <f t="shared" si="91"/>
        <v>0</v>
      </c>
      <c r="CC64" s="6">
        <f t="shared" si="91"/>
        <v>-0.35</v>
      </c>
      <c r="CD64" s="6">
        <f t="shared" si="91"/>
        <v>-0.82</v>
      </c>
      <c r="CE64" s="6">
        <f t="shared" si="92"/>
        <v>0</v>
      </c>
      <c r="CF64" s="6">
        <f t="shared" si="92"/>
        <v>-1.6968478838833759E-6</v>
      </c>
      <c r="CG64" s="6">
        <f t="shared" si="92"/>
        <v>-3.9754721850981945E-6</v>
      </c>
      <c r="CH64" s="67">
        <f t="shared" si="48"/>
        <v>-0.22</v>
      </c>
      <c r="CI64" s="64">
        <f t="shared" si="49"/>
        <v>5143373.1386954347</v>
      </c>
      <c r="CJ64" s="65">
        <f t="shared" si="50"/>
        <v>3771943.1013819654</v>
      </c>
      <c r="CK64" s="66">
        <f t="shared" si="51"/>
        <v>12890.021535505568</v>
      </c>
      <c r="CL64" s="69">
        <f t="shared" si="52"/>
        <v>6378231.8869665386</v>
      </c>
      <c r="CM64" s="6">
        <f t="shared" si="96"/>
        <v>6378245</v>
      </c>
      <c r="CN64" s="6">
        <f t="shared" si="96"/>
        <v>3.352329869259135E-3</v>
      </c>
      <c r="CO64" s="9">
        <f t="shared" si="54"/>
        <v>6.6934216229659433E-3</v>
      </c>
      <c r="CP64" s="9">
        <f t="shared" si="55"/>
        <v>6378244.911930861</v>
      </c>
      <c r="CQ64" s="9">
        <f t="shared" si="56"/>
        <v>2.0209368702047577E-3</v>
      </c>
      <c r="CR64" s="9">
        <f t="shared" si="57"/>
        <v>3.3467108576934797E-3</v>
      </c>
      <c r="CS64" s="9">
        <f t="shared" ca="1" si="58"/>
        <v>1.3618097007062995E-5</v>
      </c>
      <c r="CT64" s="9">
        <f t="shared" ca="1" si="59"/>
        <v>2.0345549672118207E-3</v>
      </c>
      <c r="CU64" s="46">
        <f t="shared" ca="1" si="94"/>
        <v>1.3618097007062995E-5</v>
      </c>
      <c r="CV64" s="70">
        <f t="shared" ca="1" si="60"/>
        <v>0</v>
      </c>
      <c r="CW64" s="71">
        <f t="shared" ca="1" si="61"/>
        <v>2.0345549672118207E-3</v>
      </c>
      <c r="CX64" s="59">
        <f t="shared" ca="1" si="62"/>
        <v>0</v>
      </c>
      <c r="CY64" s="60">
        <f t="shared" ca="1" si="63"/>
        <v>6</v>
      </c>
      <c r="CZ64" s="61">
        <f t="shared" ca="1" si="64"/>
        <v>59.6571</v>
      </c>
      <c r="DA64" s="9">
        <f t="shared" ca="1" si="65"/>
        <v>0.11657141280861491</v>
      </c>
      <c r="DB64" s="9">
        <f t="shared" si="66"/>
        <v>0.63276604640771628</v>
      </c>
      <c r="DC64" s="9">
        <f t="shared" si="67"/>
        <v>0</v>
      </c>
      <c r="DD64" s="9">
        <f t="shared" si="68"/>
        <v>0.63276604640771628</v>
      </c>
      <c r="DE64" s="60">
        <f t="shared" si="69"/>
        <v>36</v>
      </c>
      <c r="DF64" s="60">
        <f t="shared" si="70"/>
        <v>15</v>
      </c>
      <c r="DG64" s="61">
        <f t="shared" si="71"/>
        <v>17.366</v>
      </c>
      <c r="DH64" s="9">
        <f t="shared" si="72"/>
        <v>36.254823878341327</v>
      </c>
      <c r="DI64" s="66">
        <f t="shared" ca="1" si="73"/>
        <v>-3.001755103468895E-4</v>
      </c>
      <c r="DJ64" s="55">
        <f t="shared" si="74"/>
        <v>39</v>
      </c>
      <c r="DK64" s="6">
        <f t="shared" si="75"/>
        <v>-4.7912361870072265E-2</v>
      </c>
      <c r="DL64" s="6">
        <f t="shared" si="76"/>
        <v>6356863.0187730473</v>
      </c>
      <c r="DM64" s="6">
        <f t="shared" si="77"/>
        <v>6.7385254146834087E-3</v>
      </c>
      <c r="DN64" s="72">
        <f t="shared" ca="1" si="78"/>
        <v>6.7384975211760307E-3</v>
      </c>
      <c r="DO64" s="73">
        <f t="shared" ca="1" si="79"/>
        <v>6378245.0883603953</v>
      </c>
      <c r="DP64" s="6">
        <f t="shared" si="80"/>
        <v>1.0050517725429551</v>
      </c>
      <c r="DQ64" s="6">
        <f t="shared" si="81"/>
        <v>-2.5311877419908228E-3</v>
      </c>
      <c r="DR64" s="6">
        <f t="shared" si="82"/>
        <v>2.6558601241364054E-6</v>
      </c>
      <c r="DS64" s="6">
        <f t="shared" si="83"/>
        <v>-3.4165783147131439E-9</v>
      </c>
      <c r="DT64" s="6">
        <f t="shared" si="93"/>
        <v>7</v>
      </c>
      <c r="DU64" s="6">
        <f t="shared" si="93"/>
        <v>0</v>
      </c>
      <c r="DV64" s="6">
        <f t="shared" si="93"/>
        <v>500000</v>
      </c>
      <c r="DW64" s="6">
        <f t="shared" si="93"/>
        <v>1</v>
      </c>
      <c r="DX64" s="74">
        <f t="shared" ca="1" si="84"/>
        <v>12890.030428976437</v>
      </c>
      <c r="DY64" s="58">
        <f t="shared" ca="1" si="85"/>
        <v>-305713.93034284032</v>
      </c>
      <c r="DZ64" s="64">
        <f t="shared" ca="1" si="86"/>
        <v>12904.939659140397</v>
      </c>
      <c r="EA64" s="66">
        <f t="shared" ca="1" si="87"/>
        <v>7194286.06965716</v>
      </c>
    </row>
    <row r="65" spans="17:104" x14ac:dyDescent="0.25">
      <c r="Q65" s="81"/>
      <c r="R65" s="81"/>
    </row>
    <row r="66" spans="17:104" x14ac:dyDescent="0.25">
      <c r="Q66" s="81"/>
      <c r="R66" s="81"/>
    </row>
    <row r="68" spans="17:104" x14ac:dyDescent="0.25">
      <c r="U68"/>
      <c r="V68"/>
      <c r="CY68"/>
      <c r="CZ68"/>
    </row>
    <row r="69" spans="17:104" x14ac:dyDescent="0.25">
      <c r="U69"/>
      <c r="V69"/>
      <c r="CY69"/>
      <c r="CZ69"/>
    </row>
    <row r="70" spans="17:104" x14ac:dyDescent="0.25">
      <c r="U70"/>
      <c r="V70"/>
      <c r="CY70"/>
      <c r="CZ70"/>
    </row>
    <row r="71" spans="17:104" x14ac:dyDescent="0.25">
      <c r="U71"/>
      <c r="V71"/>
      <c r="CY71"/>
      <c r="CZ71"/>
    </row>
    <row r="72" spans="17:104" x14ac:dyDescent="0.25">
      <c r="U72"/>
      <c r="V72"/>
      <c r="CY72"/>
      <c r="CZ72"/>
    </row>
    <row r="73" spans="17:104" x14ac:dyDescent="0.25">
      <c r="U73"/>
      <c r="V73"/>
      <c r="CY73"/>
      <c r="CZ73"/>
    </row>
    <row r="74" spans="17:104" x14ac:dyDescent="0.25">
      <c r="U74"/>
      <c r="V74"/>
      <c r="CY74"/>
      <c r="CZ74"/>
    </row>
    <row r="75" spans="17:104" x14ac:dyDescent="0.25">
      <c r="U75"/>
      <c r="V75"/>
      <c r="CY75"/>
      <c r="CZ75"/>
    </row>
    <row r="76" spans="17:104" x14ac:dyDescent="0.25">
      <c r="U76"/>
      <c r="V76"/>
      <c r="CY76"/>
      <c r="CZ76"/>
    </row>
    <row r="77" spans="17:104" x14ac:dyDescent="0.25">
      <c r="U77"/>
      <c r="V77"/>
      <c r="CY77"/>
      <c r="CZ77"/>
    </row>
    <row r="78" spans="17:104" x14ac:dyDescent="0.25">
      <c r="U78"/>
      <c r="V78"/>
      <c r="CY78"/>
      <c r="CZ78"/>
    </row>
    <row r="79" spans="17:104" x14ac:dyDescent="0.25">
      <c r="U79"/>
      <c r="V79"/>
      <c r="CY79"/>
      <c r="CZ79"/>
    </row>
    <row r="80" spans="17:104" x14ac:dyDescent="0.25">
      <c r="U80"/>
      <c r="V80"/>
      <c r="CY80"/>
      <c r="CZ80"/>
    </row>
    <row r="81" spans="21:104" x14ac:dyDescent="0.25">
      <c r="U81"/>
      <c r="V81"/>
      <c r="CY81"/>
      <c r="CZ81"/>
    </row>
    <row r="82" spans="21:104" x14ac:dyDescent="0.25">
      <c r="U82"/>
      <c r="V82"/>
      <c r="CY82"/>
      <c r="CZ82"/>
    </row>
  </sheetData>
  <mergeCells count="6">
    <mergeCell ref="A6:Q6"/>
    <mergeCell ref="A1:Q1"/>
    <mergeCell ref="A2:Q2"/>
    <mergeCell ref="A3:Q3"/>
    <mergeCell ref="A4:B4"/>
    <mergeCell ref="A5:B5"/>
  </mergeCells>
  <pageMargins left="0.75" right="0.75" top="1" bottom="1" header="0.5" footer="0.5"/>
  <pageSetup paperSize="9" scale="2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2.75" x14ac:dyDescent="0.2"/>
  <cols>
    <col min="1" max="1" width="67" style="87" customWidth="1"/>
    <col min="2" max="256" width="9.140625" style="87"/>
    <col min="257" max="257" width="67" style="87" customWidth="1"/>
    <col min="258" max="512" width="9.140625" style="87"/>
    <col min="513" max="513" width="67" style="87" customWidth="1"/>
    <col min="514" max="768" width="9.140625" style="87"/>
    <col min="769" max="769" width="67" style="87" customWidth="1"/>
    <col min="770" max="1024" width="9.140625" style="87"/>
    <col min="1025" max="1025" width="67" style="87" customWidth="1"/>
    <col min="1026" max="1280" width="9.140625" style="87"/>
    <col min="1281" max="1281" width="67" style="87" customWidth="1"/>
    <col min="1282" max="1536" width="9.140625" style="87"/>
    <col min="1537" max="1537" width="67" style="87" customWidth="1"/>
    <col min="1538" max="1792" width="9.140625" style="87"/>
    <col min="1793" max="1793" width="67" style="87" customWidth="1"/>
    <col min="1794" max="2048" width="9.140625" style="87"/>
    <col min="2049" max="2049" width="67" style="87" customWidth="1"/>
    <col min="2050" max="2304" width="9.140625" style="87"/>
    <col min="2305" max="2305" width="67" style="87" customWidth="1"/>
    <col min="2306" max="2560" width="9.140625" style="87"/>
    <col min="2561" max="2561" width="67" style="87" customWidth="1"/>
    <col min="2562" max="2816" width="9.140625" style="87"/>
    <col min="2817" max="2817" width="67" style="87" customWidth="1"/>
    <col min="2818" max="3072" width="9.140625" style="87"/>
    <col min="3073" max="3073" width="67" style="87" customWidth="1"/>
    <col min="3074" max="3328" width="9.140625" style="87"/>
    <col min="3329" max="3329" width="67" style="87" customWidth="1"/>
    <col min="3330" max="3584" width="9.140625" style="87"/>
    <col min="3585" max="3585" width="67" style="87" customWidth="1"/>
    <col min="3586" max="3840" width="9.140625" style="87"/>
    <col min="3841" max="3841" width="67" style="87" customWidth="1"/>
    <col min="3842" max="4096" width="9.140625" style="87"/>
    <col min="4097" max="4097" width="67" style="87" customWidth="1"/>
    <col min="4098" max="4352" width="9.140625" style="87"/>
    <col min="4353" max="4353" width="67" style="87" customWidth="1"/>
    <col min="4354" max="4608" width="9.140625" style="87"/>
    <col min="4609" max="4609" width="67" style="87" customWidth="1"/>
    <col min="4610" max="4864" width="9.140625" style="87"/>
    <col min="4865" max="4865" width="67" style="87" customWidth="1"/>
    <col min="4866" max="5120" width="9.140625" style="87"/>
    <col min="5121" max="5121" width="67" style="87" customWidth="1"/>
    <col min="5122" max="5376" width="9.140625" style="87"/>
    <col min="5377" max="5377" width="67" style="87" customWidth="1"/>
    <col min="5378" max="5632" width="9.140625" style="87"/>
    <col min="5633" max="5633" width="67" style="87" customWidth="1"/>
    <col min="5634" max="5888" width="9.140625" style="87"/>
    <col min="5889" max="5889" width="67" style="87" customWidth="1"/>
    <col min="5890" max="6144" width="9.140625" style="87"/>
    <col min="6145" max="6145" width="67" style="87" customWidth="1"/>
    <col min="6146" max="6400" width="9.140625" style="87"/>
    <col min="6401" max="6401" width="67" style="87" customWidth="1"/>
    <col min="6402" max="6656" width="9.140625" style="87"/>
    <col min="6657" max="6657" width="67" style="87" customWidth="1"/>
    <col min="6658" max="6912" width="9.140625" style="87"/>
    <col min="6913" max="6913" width="67" style="87" customWidth="1"/>
    <col min="6914" max="7168" width="9.140625" style="87"/>
    <col min="7169" max="7169" width="67" style="87" customWidth="1"/>
    <col min="7170" max="7424" width="9.140625" style="87"/>
    <col min="7425" max="7425" width="67" style="87" customWidth="1"/>
    <col min="7426" max="7680" width="9.140625" style="87"/>
    <col min="7681" max="7681" width="67" style="87" customWidth="1"/>
    <col min="7682" max="7936" width="9.140625" style="87"/>
    <col min="7937" max="7937" width="67" style="87" customWidth="1"/>
    <col min="7938" max="8192" width="9.140625" style="87"/>
    <col min="8193" max="8193" width="67" style="87" customWidth="1"/>
    <col min="8194" max="8448" width="9.140625" style="87"/>
    <col min="8449" max="8449" width="67" style="87" customWidth="1"/>
    <col min="8450" max="8704" width="9.140625" style="87"/>
    <col min="8705" max="8705" width="67" style="87" customWidth="1"/>
    <col min="8706" max="8960" width="9.140625" style="87"/>
    <col min="8961" max="8961" width="67" style="87" customWidth="1"/>
    <col min="8962" max="9216" width="9.140625" style="87"/>
    <col min="9217" max="9217" width="67" style="87" customWidth="1"/>
    <col min="9218" max="9472" width="9.140625" style="87"/>
    <col min="9473" max="9473" width="67" style="87" customWidth="1"/>
    <col min="9474" max="9728" width="9.140625" style="87"/>
    <col min="9729" max="9729" width="67" style="87" customWidth="1"/>
    <col min="9730" max="9984" width="9.140625" style="87"/>
    <col min="9985" max="9985" width="67" style="87" customWidth="1"/>
    <col min="9986" max="10240" width="9.140625" style="87"/>
    <col min="10241" max="10241" width="67" style="87" customWidth="1"/>
    <col min="10242" max="10496" width="9.140625" style="87"/>
    <col min="10497" max="10497" width="67" style="87" customWidth="1"/>
    <col min="10498" max="10752" width="9.140625" style="87"/>
    <col min="10753" max="10753" width="67" style="87" customWidth="1"/>
    <col min="10754" max="11008" width="9.140625" style="87"/>
    <col min="11009" max="11009" width="67" style="87" customWidth="1"/>
    <col min="11010" max="11264" width="9.140625" style="87"/>
    <col min="11265" max="11265" width="67" style="87" customWidth="1"/>
    <col min="11266" max="11520" width="9.140625" style="87"/>
    <col min="11521" max="11521" width="67" style="87" customWidth="1"/>
    <col min="11522" max="11776" width="9.140625" style="87"/>
    <col min="11777" max="11777" width="67" style="87" customWidth="1"/>
    <col min="11778" max="12032" width="9.140625" style="87"/>
    <col min="12033" max="12033" width="67" style="87" customWidth="1"/>
    <col min="12034" max="12288" width="9.140625" style="87"/>
    <col min="12289" max="12289" width="67" style="87" customWidth="1"/>
    <col min="12290" max="12544" width="9.140625" style="87"/>
    <col min="12545" max="12545" width="67" style="87" customWidth="1"/>
    <col min="12546" max="12800" width="9.140625" style="87"/>
    <col min="12801" max="12801" width="67" style="87" customWidth="1"/>
    <col min="12802" max="13056" width="9.140625" style="87"/>
    <col min="13057" max="13057" width="67" style="87" customWidth="1"/>
    <col min="13058" max="13312" width="9.140625" style="87"/>
    <col min="13313" max="13313" width="67" style="87" customWidth="1"/>
    <col min="13314" max="13568" width="9.140625" style="87"/>
    <col min="13569" max="13569" width="67" style="87" customWidth="1"/>
    <col min="13570" max="13824" width="9.140625" style="87"/>
    <col min="13825" max="13825" width="67" style="87" customWidth="1"/>
    <col min="13826" max="14080" width="9.140625" style="87"/>
    <col min="14081" max="14081" width="67" style="87" customWidth="1"/>
    <col min="14082" max="14336" width="9.140625" style="87"/>
    <col min="14337" max="14337" width="67" style="87" customWidth="1"/>
    <col min="14338" max="14592" width="9.140625" style="87"/>
    <col min="14593" max="14593" width="67" style="87" customWidth="1"/>
    <col min="14594" max="14848" width="9.140625" style="87"/>
    <col min="14849" max="14849" width="67" style="87" customWidth="1"/>
    <col min="14850" max="15104" width="9.140625" style="87"/>
    <col min="15105" max="15105" width="67" style="87" customWidth="1"/>
    <col min="15106" max="15360" width="9.140625" style="87"/>
    <col min="15361" max="15361" width="67" style="87" customWidth="1"/>
    <col min="15362" max="15616" width="9.140625" style="87"/>
    <col min="15617" max="15617" width="67" style="87" customWidth="1"/>
    <col min="15618" max="15872" width="9.140625" style="87"/>
    <col min="15873" max="15873" width="67" style="87" customWidth="1"/>
    <col min="15874" max="16128" width="9.140625" style="87"/>
    <col min="16129" max="16129" width="67" style="87" customWidth="1"/>
    <col min="16130" max="16384" width="9.140625" style="87"/>
  </cols>
  <sheetData>
    <row r="1" spans="1:1" ht="51" x14ac:dyDescent="0.2">
      <c r="A1" s="110" t="s">
        <v>124</v>
      </c>
    </row>
    <row r="2" spans="1:1" x14ac:dyDescent="0.2">
      <c r="A2" s="110" t="s">
        <v>125</v>
      </c>
    </row>
    <row r="3" spans="1:1" x14ac:dyDescent="0.2">
      <c r="A3" s="110" t="s">
        <v>126</v>
      </c>
    </row>
    <row r="4" spans="1:1" x14ac:dyDescent="0.2">
      <c r="A4" s="110" t="s">
        <v>127</v>
      </c>
    </row>
    <row r="5" spans="1:1" ht="24" customHeight="1" x14ac:dyDescent="0.2">
      <c r="A5" s="110" t="s">
        <v>128</v>
      </c>
    </row>
    <row r="6" spans="1:1" ht="25.5" x14ac:dyDescent="0.2">
      <c r="A6" s="110" t="s">
        <v>130</v>
      </c>
    </row>
    <row r="7" spans="1:1" ht="25.5" x14ac:dyDescent="0.2">
      <c r="A7" s="110" t="s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BLH-XYZ</vt:lpstr>
      <vt:lpstr>XYZ-BLH</vt:lpstr>
      <vt:lpstr>X1Y1Z1-X2Y2Z2</vt:lpstr>
      <vt:lpstr>BL--&gt;xy</vt:lpstr>
      <vt:lpstr>x1y1-x2y2</vt:lpstr>
      <vt:lpstr>Информация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Жученко Дмитрий Юрьевич</dc:creator>
  <cp:lastModifiedBy>Жученко Дмитрий Юрьевич</cp:lastModifiedBy>
  <dcterms:created xsi:type="dcterms:W3CDTF">2015-02-04T15:22:17Z</dcterms:created>
  <dcterms:modified xsi:type="dcterms:W3CDTF">2015-02-04T16:03:56Z</dcterms:modified>
</cp:coreProperties>
</file>