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720" windowHeight="11700" activeTab="4"/>
  </bookViews>
  <sheets>
    <sheet name="Formules" sheetId="2" r:id="rId1"/>
    <sheet name="Blad1" sheetId="1" r:id="rId2"/>
    <sheet name="Blad3" sheetId="3" r:id="rId3"/>
    <sheet name="Blad2" sheetId="4" r:id="rId4"/>
    <sheet name="PID Controller" sheetId="5" r:id="rId5"/>
  </sheets>
  <calcPr calcId="145621"/>
</workbook>
</file>

<file path=xl/calcChain.xml><?xml version="1.0" encoding="utf-8"?>
<calcChain xmlns="http://schemas.openxmlformats.org/spreadsheetml/2006/main">
  <c r="C4" i="5" l="1"/>
  <c r="N4" i="5"/>
  <c r="Q6" i="5"/>
  <c r="O9" i="4"/>
  <c r="N9" i="4"/>
  <c r="H9" i="4"/>
  <c r="N8" i="4"/>
  <c r="N7" i="4"/>
  <c r="N6" i="4"/>
  <c r="I5" i="4"/>
  <c r="J5" i="4"/>
  <c r="N5" i="4"/>
  <c r="D31" i="2"/>
  <c r="F52" i="2"/>
  <c r="D30" i="2"/>
  <c r="M6" i="2"/>
  <c r="M7" i="2"/>
  <c r="F5" i="2"/>
  <c r="T31" i="2" l="1"/>
  <c r="S31" i="2"/>
  <c r="F27" i="2"/>
  <c r="H46" i="2"/>
  <c r="I46" i="2" s="1"/>
  <c r="K46" i="2"/>
  <c r="F49" i="2"/>
  <c r="G46" i="2"/>
  <c r="G45" i="2"/>
  <c r="H45" i="2" s="1"/>
  <c r="G44" i="2"/>
  <c r="I40" i="2"/>
  <c r="F30" i="2"/>
  <c r="F29" i="2"/>
  <c r="K32" i="2"/>
  <c r="M31" i="2"/>
  <c r="N31" i="2" s="1"/>
  <c r="H34" i="2"/>
  <c r="F3" i="4" l="1"/>
  <c r="F4" i="4"/>
  <c r="F5" i="4"/>
  <c r="F6" i="4"/>
  <c r="F9" i="4"/>
  <c r="F10" i="4"/>
  <c r="F11" i="4"/>
  <c r="F8" i="4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5" i="2"/>
  <c r="N26" i="2" l="1"/>
  <c r="O26" i="2"/>
  <c r="N22" i="2"/>
  <c r="O22" i="2"/>
  <c r="N18" i="2"/>
  <c r="O18" i="2"/>
  <c r="N14" i="2"/>
  <c r="O14" i="2"/>
  <c r="N10" i="2"/>
  <c r="O10" i="2"/>
  <c r="N6" i="2"/>
  <c r="L6" i="2" s="1"/>
  <c r="O6" i="2"/>
  <c r="O25" i="2"/>
  <c r="N25" i="2"/>
  <c r="O21" i="2"/>
  <c r="N21" i="2"/>
  <c r="O17" i="2"/>
  <c r="N17" i="2"/>
  <c r="O13" i="2"/>
  <c r="N13" i="2"/>
  <c r="O9" i="2"/>
  <c r="N9" i="2"/>
  <c r="O5" i="2"/>
  <c r="N5" i="2"/>
  <c r="N24" i="2"/>
  <c r="O24" i="2"/>
  <c r="N20" i="2"/>
  <c r="O20" i="2"/>
  <c r="N16" i="2"/>
  <c r="O16" i="2"/>
  <c r="N12" i="2"/>
  <c r="O12" i="2"/>
  <c r="N8" i="2"/>
  <c r="O8" i="2"/>
  <c r="N27" i="2"/>
  <c r="O27" i="2"/>
  <c r="N23" i="2"/>
  <c r="O23" i="2"/>
  <c r="N19" i="2"/>
  <c r="O19" i="2"/>
  <c r="N15" i="2"/>
  <c r="O15" i="2"/>
  <c r="N11" i="2"/>
  <c r="O11" i="2"/>
  <c r="N7" i="2"/>
  <c r="L7" i="2" s="1"/>
  <c r="O7" i="2"/>
  <c r="J27" i="2"/>
  <c r="I4" i="3"/>
  <c r="I5" i="3"/>
  <c r="I6" i="3"/>
  <c r="I7" i="3"/>
  <c r="I8" i="3"/>
  <c r="I9" i="3"/>
  <c r="I10" i="3"/>
  <c r="I11" i="3"/>
  <c r="I12" i="3"/>
  <c r="I13" i="3"/>
  <c r="I14" i="3"/>
  <c r="I15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3" i="3"/>
  <c r="E3" i="3"/>
  <c r="G3" i="3" s="1"/>
  <c r="E4" i="3"/>
  <c r="F4" i="3" s="1"/>
  <c r="E5" i="3"/>
  <c r="G5" i="3" s="1"/>
  <c r="F5" i="3"/>
  <c r="E6" i="3"/>
  <c r="F6" i="3" s="1"/>
  <c r="F9" i="3"/>
  <c r="F13" i="3"/>
  <c r="E8" i="3"/>
  <c r="G8" i="3" s="1"/>
  <c r="E9" i="3"/>
  <c r="G9" i="3" s="1"/>
  <c r="E10" i="3"/>
  <c r="G10" i="3" s="1"/>
  <c r="E11" i="3"/>
  <c r="G11" i="3" s="1"/>
  <c r="E12" i="3"/>
  <c r="F12" i="3" s="1"/>
  <c r="E13" i="3"/>
  <c r="G13" i="3" s="1"/>
  <c r="E14" i="3"/>
  <c r="G14" i="3" s="1"/>
  <c r="E15" i="3"/>
  <c r="G15" i="3" s="1"/>
  <c r="E7" i="3"/>
  <c r="F7" i="3" s="1"/>
  <c r="H27" i="2"/>
  <c r="T27" i="2" s="1"/>
  <c r="H26" i="2"/>
  <c r="T26" i="2" s="1"/>
  <c r="F26" i="2"/>
  <c r="H25" i="2"/>
  <c r="T25" i="2" s="1"/>
  <c r="F25" i="2"/>
  <c r="H24" i="2"/>
  <c r="T24" i="2" s="1"/>
  <c r="F24" i="2"/>
  <c r="H23" i="2"/>
  <c r="T23" i="2" s="1"/>
  <c r="F23" i="2"/>
  <c r="H22" i="2"/>
  <c r="T22" i="2" s="1"/>
  <c r="F22" i="2"/>
  <c r="H21" i="2"/>
  <c r="T21" i="2" s="1"/>
  <c r="F21" i="2"/>
  <c r="H20" i="2"/>
  <c r="T20" i="2" s="1"/>
  <c r="F20" i="2"/>
  <c r="H19" i="2"/>
  <c r="T19" i="2" s="1"/>
  <c r="F19" i="2"/>
  <c r="H18" i="2"/>
  <c r="T18" i="2" s="1"/>
  <c r="F18" i="2"/>
  <c r="H17" i="2"/>
  <c r="T17" i="2" s="1"/>
  <c r="F17" i="2"/>
  <c r="H16" i="2"/>
  <c r="T16" i="2" s="1"/>
  <c r="F16" i="2"/>
  <c r="H15" i="2"/>
  <c r="T15" i="2" s="1"/>
  <c r="F15" i="2"/>
  <c r="H14" i="2"/>
  <c r="T14" i="2" s="1"/>
  <c r="F14" i="2"/>
  <c r="H13" i="2"/>
  <c r="T13" i="2" s="1"/>
  <c r="F13" i="2"/>
  <c r="H12" i="2"/>
  <c r="T12" i="2" s="1"/>
  <c r="F12" i="2"/>
  <c r="H11" i="2"/>
  <c r="T11" i="2" s="1"/>
  <c r="F11" i="2"/>
  <c r="H6" i="2"/>
  <c r="T6" i="2" s="1"/>
  <c r="H7" i="2"/>
  <c r="T7" i="2" s="1"/>
  <c r="H8" i="2"/>
  <c r="T8" i="2" s="1"/>
  <c r="H9" i="2"/>
  <c r="T9" i="2" s="1"/>
  <c r="H10" i="2"/>
  <c r="T10" i="2" s="1"/>
  <c r="H5" i="2"/>
  <c r="F6" i="2"/>
  <c r="F10" i="2"/>
  <c r="F9" i="2"/>
  <c r="F8" i="2"/>
  <c r="J8" i="2" s="1"/>
  <c r="F7" i="2"/>
  <c r="J7" i="2" s="1"/>
  <c r="D45" i="1"/>
  <c r="E48" i="1"/>
  <c r="E47" i="1"/>
  <c r="E46" i="1"/>
  <c r="E45" i="1"/>
  <c r="E40" i="1"/>
  <c r="E41" i="1"/>
  <c r="E42" i="1" s="1"/>
  <c r="D48" i="1"/>
  <c r="D47" i="1"/>
  <c r="D41" i="1"/>
  <c r="D42" i="1" s="1"/>
  <c r="D40" i="1"/>
  <c r="D46" i="1"/>
  <c r="O17" i="1"/>
  <c r="Q7" i="1"/>
  <c r="P7" i="1"/>
  <c r="O7" i="1"/>
  <c r="Q27" i="2" l="1"/>
  <c r="K27" i="2"/>
  <c r="L27" i="2"/>
  <c r="M27" i="2" s="1"/>
  <c r="K20" i="2"/>
  <c r="L20" i="2"/>
  <c r="M20" i="2" s="1"/>
  <c r="K14" i="2"/>
  <c r="L14" i="2" s="1"/>
  <c r="M14" i="2" s="1"/>
  <c r="K22" i="2"/>
  <c r="L22" i="2" s="1"/>
  <c r="M22" i="2" s="1"/>
  <c r="K13" i="2"/>
  <c r="L13" i="2"/>
  <c r="M13" i="2" s="1"/>
  <c r="K11" i="2"/>
  <c r="L11" i="2" s="1"/>
  <c r="M11" i="2" s="1"/>
  <c r="K12" i="2"/>
  <c r="L12" i="2" s="1"/>
  <c r="M12" i="2" s="1"/>
  <c r="K9" i="2"/>
  <c r="L9" i="2" s="1"/>
  <c r="M9" i="2" s="1"/>
  <c r="K17" i="2"/>
  <c r="L17" i="2"/>
  <c r="M17" i="2" s="1"/>
  <c r="K25" i="2"/>
  <c r="L25" i="2"/>
  <c r="M25" i="2" s="1"/>
  <c r="K21" i="2"/>
  <c r="L21" i="2"/>
  <c r="M21" i="2" s="1"/>
  <c r="K19" i="2"/>
  <c r="L19" i="2" s="1"/>
  <c r="M19" i="2" s="1"/>
  <c r="K15" i="2"/>
  <c r="L15" i="2" s="1"/>
  <c r="M15" i="2" s="1"/>
  <c r="K23" i="2"/>
  <c r="L23" i="2" s="1"/>
  <c r="M23" i="2" s="1"/>
  <c r="K8" i="2"/>
  <c r="L8" i="2"/>
  <c r="M8" i="2" s="1"/>
  <c r="K16" i="2"/>
  <c r="L16" i="2" s="1"/>
  <c r="M16" i="2" s="1"/>
  <c r="K24" i="2"/>
  <c r="L24" i="2"/>
  <c r="M24" i="2" s="1"/>
  <c r="K10" i="2"/>
  <c r="L10" i="2" s="1"/>
  <c r="M10" i="2" s="1"/>
  <c r="K18" i="2"/>
  <c r="L18" i="2" s="1"/>
  <c r="M18" i="2" s="1"/>
  <c r="K26" i="2"/>
  <c r="L26" i="2" s="1"/>
  <c r="M26" i="2" s="1"/>
  <c r="K6" i="2"/>
  <c r="K5" i="2"/>
  <c r="K7" i="2"/>
  <c r="T5" i="2"/>
  <c r="P5" i="2"/>
  <c r="Q11" i="2"/>
  <c r="Q19" i="2"/>
  <c r="Q12" i="2"/>
  <c r="Q20" i="2"/>
  <c r="Q6" i="2"/>
  <c r="Q14" i="2"/>
  <c r="Q22" i="2"/>
  <c r="Q5" i="2"/>
  <c r="Q13" i="2"/>
  <c r="Q21" i="2"/>
  <c r="Q7" i="2"/>
  <c r="Q15" i="2"/>
  <c r="Q23" i="2"/>
  <c r="Q8" i="2"/>
  <c r="Q16" i="2"/>
  <c r="Q24" i="2"/>
  <c r="Q10" i="2"/>
  <c r="Q18" i="2"/>
  <c r="Q26" i="2"/>
  <c r="Q9" i="2"/>
  <c r="Q17" i="2"/>
  <c r="Q25" i="2"/>
  <c r="P18" i="2"/>
  <c r="P13" i="2"/>
  <c r="P14" i="2"/>
  <c r="P22" i="2"/>
  <c r="P12" i="2"/>
  <c r="P20" i="2"/>
  <c r="P23" i="2"/>
  <c r="P27" i="2"/>
  <c r="P11" i="2"/>
  <c r="P26" i="2"/>
  <c r="P25" i="2"/>
  <c r="P15" i="2"/>
  <c r="P10" i="2"/>
  <c r="P6" i="2"/>
  <c r="P21" i="2"/>
  <c r="P8" i="2"/>
  <c r="P16" i="2"/>
  <c r="P24" i="2"/>
  <c r="P9" i="2"/>
  <c r="P17" i="2"/>
  <c r="P7" i="2"/>
  <c r="P19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9" i="2"/>
  <c r="J13" i="2"/>
  <c r="J11" i="2"/>
  <c r="J5" i="2"/>
  <c r="J10" i="2"/>
  <c r="J6" i="2"/>
  <c r="F15" i="3"/>
  <c r="G6" i="3"/>
  <c r="F11" i="3"/>
  <c r="F3" i="3"/>
  <c r="G4" i="3"/>
  <c r="G7" i="3"/>
  <c r="G12" i="3"/>
  <c r="F14" i="3"/>
  <c r="F10" i="3"/>
  <c r="F8" i="3"/>
  <c r="U12" i="2"/>
  <c r="U13" i="2"/>
  <c r="U14" i="2"/>
  <c r="U16" i="2"/>
  <c r="U17" i="2"/>
  <c r="U18" i="2"/>
  <c r="U19" i="2"/>
  <c r="U20" i="2"/>
  <c r="U21" i="2"/>
  <c r="U22" i="2"/>
  <c r="U23" i="2"/>
  <c r="U24" i="2"/>
  <c r="U25" i="2"/>
  <c r="U26" i="2"/>
  <c r="U27" i="2"/>
  <c r="U15" i="2"/>
  <c r="U7" i="2"/>
  <c r="U5" i="2"/>
  <c r="U9" i="2"/>
  <c r="U8" i="2"/>
  <c r="U11" i="2"/>
  <c r="U6" i="2"/>
  <c r="U10" i="2"/>
  <c r="E49" i="1"/>
  <c r="D49" i="1"/>
  <c r="L5" i="2" l="1"/>
  <c r="M5" i="2" s="1"/>
  <c r="S7" i="2"/>
  <c r="R7" i="2"/>
  <c r="R6" i="2" l="1"/>
  <c r="S6" i="2"/>
  <c r="R22" i="2"/>
  <c r="R24" i="2"/>
  <c r="R15" i="2"/>
  <c r="R5" i="2"/>
  <c r="R14" i="2"/>
  <c r="R16" i="2"/>
  <c r="R17" i="2"/>
  <c r="R26" i="2"/>
  <c r="R19" i="2"/>
  <c r="R11" i="2"/>
  <c r="R21" i="2"/>
  <c r="R9" i="2"/>
  <c r="S12" i="2"/>
  <c r="R8" i="2"/>
  <c r="S10" i="2"/>
  <c r="R23" i="2"/>
  <c r="S24" i="2"/>
  <c r="R20" i="2"/>
  <c r="R25" i="2"/>
  <c r="S25" i="2"/>
  <c r="R27" i="2"/>
  <c r="S19" i="2"/>
  <c r="S9" i="2"/>
  <c r="S18" i="2"/>
  <c r="R18" i="2"/>
  <c r="S26" i="2"/>
  <c r="S22" i="2"/>
  <c r="S8" i="2"/>
  <c r="R13" i="2"/>
  <c r="S13" i="2"/>
  <c r="R10" i="2"/>
  <c r="S14" i="2"/>
  <c r="S11" i="2"/>
  <c r="S21" i="2"/>
  <c r="R12" i="2"/>
  <c r="S17" i="2"/>
  <c r="S23" i="2"/>
  <c r="S27" i="2"/>
  <c r="H30" i="2"/>
  <c r="S20" i="2"/>
  <c r="S16" i="2"/>
  <c r="S15" i="2"/>
  <c r="S5" i="2" l="1"/>
</calcChain>
</file>

<file path=xl/sharedStrings.xml><?xml version="1.0" encoding="utf-8"?>
<sst xmlns="http://schemas.openxmlformats.org/spreadsheetml/2006/main" count="172" uniqueCount="141">
  <si>
    <t>wielafstand cm</t>
  </si>
  <si>
    <t>wieldiameter cm</t>
  </si>
  <si>
    <t>omtrek cm</t>
  </si>
  <si>
    <t>dia*π</t>
  </si>
  <si>
    <t>als 1 wiel stil cm te rollen</t>
  </si>
  <si>
    <t>als 1 wiel stil, aantal rotaties</t>
  </si>
  <si>
    <t>buitenwielsnelheid</t>
  </si>
  <si>
    <t>v=snelheid</t>
  </si>
  <si>
    <t>=</t>
  </si>
  <si>
    <t>v</t>
  </si>
  <si>
    <t>r=cirkelradius</t>
  </si>
  <si>
    <t>v/r*(r+wielbasis/2)</t>
  </si>
  <si>
    <t>binnenwielsnelheid</t>
  </si>
  <si>
    <t>v/r*(r-wielbasis/2)</t>
  </si>
  <si>
    <t>verhouding</t>
  </si>
  <si>
    <t>outsidewheel/insidewheel=(r + wheelbase/2)/(r - wheelbase/2)</t>
  </si>
  <si>
    <t>(2r + wheelbase)/(2r - wheelbase)</t>
  </si>
  <si>
    <t>(d + wheelbase)/(d - wheelbase)</t>
  </si>
  <si>
    <t>So the outside wheel needs to go (d + wheelbase)/(d - wheelbase) times faster than the inside wheel.</t>
  </si>
  <si>
    <t>https://en.wikipedia.org/wiki/Differential_wheeled_robot</t>
  </si>
  <si>
    <t>wielbasis (cm)</t>
  </si>
  <si>
    <t>circle radius (cm)</t>
  </si>
  <si>
    <t>snelheid</t>
  </si>
  <si>
    <t>L</t>
  </si>
  <si>
    <t>wielbasis (afstand tussen wielen)</t>
  </si>
  <si>
    <t>R</t>
  </si>
  <si>
    <t>radius van 1 wiel (diameter/2)</t>
  </si>
  <si>
    <t>Vl</t>
  </si>
  <si>
    <t>snelheid linker wiel</t>
  </si>
  <si>
    <t>Vr</t>
  </si>
  <si>
    <t>snelheid rechter wiel</t>
  </si>
  <si>
    <t>Ø</t>
  </si>
  <si>
    <t>richting waar deze heen gaat</t>
  </si>
  <si>
    <t>x,y</t>
  </si>
  <si>
    <t>coördinaa</t>
  </si>
  <si>
    <t>unicycle model</t>
  </si>
  <si>
    <t>ω</t>
  </si>
  <si>
    <t>angeular velocity, de snelheid van de draaiing</t>
  </si>
  <si>
    <t>de gehele snelheid</t>
  </si>
  <si>
    <t>(2v+ωL)/2R</t>
  </si>
  <si>
    <t>(2v-ωL)/2R</t>
  </si>
  <si>
    <t>Dl = afstand linkerwiel afgelegd</t>
  </si>
  <si>
    <t>Dr = afstand rechterwiel afgelegd</t>
  </si>
  <si>
    <t>Dc = afstand midden heeft afgelegd = (Dl+Dr)/2</t>
  </si>
  <si>
    <t>Dc</t>
  </si>
  <si>
    <t xml:space="preserve">Hoek </t>
  </si>
  <si>
    <t>af te leggen afstand</t>
  </si>
  <si>
    <t>Radius (cm)</t>
  </si>
  <si>
    <t>afstand wielen</t>
  </si>
  <si>
    <t>snelheid (rpm) V</t>
  </si>
  <si>
    <t>richting</t>
  </si>
  <si>
    <t>wants rechts</t>
  </si>
  <si>
    <t>Dl</t>
  </si>
  <si>
    <t>Dr</t>
  </si>
  <si>
    <t>WielDiameter</t>
  </si>
  <si>
    <t>WielOmtrek</t>
  </si>
  <si>
    <t>omwentelingen</t>
  </si>
  <si>
    <t>rechtsom</t>
  </si>
  <si>
    <t>linksom</t>
  </si>
  <si>
    <t>dw</t>
  </si>
  <si>
    <t>dc</t>
  </si>
  <si>
    <t>Diameter cirkel</t>
  </si>
  <si>
    <t>πdw</t>
  </si>
  <si>
    <t>(Ø/360)*πdc</t>
  </si>
  <si>
    <t>Dcontrole</t>
  </si>
  <si>
    <t>(Dl+Dr)/2</t>
  </si>
  <si>
    <t>Vlr (Ø+0.5*dw)</t>
  </si>
  <si>
    <t>Richting</t>
  </si>
  <si>
    <t>(Ø/360)*π*(dc+L)</t>
  </si>
  <si>
    <t>(Ø/360)*π*(dc-L)</t>
  </si>
  <si>
    <t>OUTPUT</t>
  </si>
  <si>
    <t>Contants</t>
  </si>
  <si>
    <t>INPUTS</t>
  </si>
  <si>
    <t>Vmax voertuig</t>
  </si>
  <si>
    <t>(Ø/360)*πdc=Dc</t>
  </si>
  <si>
    <t>Wielbasis</t>
  </si>
  <si>
    <t>Vlr/Vrr*Vmax</t>
  </si>
  <si>
    <t>Vrr/Vlr*Vmax</t>
  </si>
  <si>
    <t>Vmax km/h</t>
  </si>
  <si>
    <t>snelheid (KM/H)</t>
  </si>
  <si>
    <t>imuDriveHeading</t>
  </si>
  <si>
    <t>add</t>
  </si>
  <si>
    <t>scale180input (v)</t>
  </si>
  <si>
    <r>
      <t>while</t>
    </r>
    <r>
      <rPr>
        <sz val="11"/>
        <color rgb="FFD4D4D4"/>
        <rFont val="Consolas"/>
        <family val="3"/>
      </rPr>
      <t> (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&lt;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) 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+=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;</t>
    </r>
  </si>
  <si>
    <r>
      <t>while</t>
    </r>
    <r>
      <rPr>
        <sz val="11"/>
        <color rgb="FFD4D4D4"/>
        <rFont val="Consolas"/>
        <family val="3"/>
      </rPr>
      <t> (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&gt;=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) 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-=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;</t>
    </r>
  </si>
  <si>
    <t>dnew</t>
  </si>
  <si>
    <t>return d</t>
  </si>
  <si>
    <t>IMUCLASS::scale180(v)</t>
  </si>
  <si>
    <t>AngleRotate</t>
  </si>
  <si>
    <t>End Odo</t>
  </si>
  <si>
    <t>Speed</t>
  </si>
  <si>
    <t>actualOdo</t>
  </si>
  <si>
    <t>hasPassed</t>
  </si>
  <si>
    <t>tick/rev</t>
  </si>
  <si>
    <t>ticks per cm</t>
  </si>
  <si>
    <t>dia</t>
  </si>
  <si>
    <t>setRPM</t>
  </si>
  <si>
    <t>minRPM</t>
  </si>
  <si>
    <t>maxRPM</t>
  </si>
  <si>
    <t>minPWM</t>
  </si>
  <si>
    <t>lrpm</t>
  </si>
  <si>
    <t>rrpm</t>
  </si>
  <si>
    <t>verh</t>
  </si>
  <si>
    <t>lrpmc</t>
  </si>
  <si>
    <t>maxrpm</t>
  </si>
  <si>
    <t>odostartbrakeleft = ticksperrev/2</t>
  </si>
  <si>
    <t>is half wiel</t>
  </si>
  <si>
    <t>tijd links</t>
  </si>
  <si>
    <t>tijd rechts</t>
  </si>
  <si>
    <t>dl</t>
  </si>
  <si>
    <t>dr</t>
  </si>
  <si>
    <t>ratiol</t>
  </si>
  <si>
    <t>ratior</t>
  </si>
  <si>
    <t>omwL</t>
  </si>
  <si>
    <t>omwR</t>
  </si>
  <si>
    <t>Map function</t>
  </si>
  <si>
    <t>value</t>
  </si>
  <si>
    <t>in_min</t>
  </si>
  <si>
    <t>in_max</t>
  </si>
  <si>
    <t>out_min</t>
  </si>
  <si>
    <t>out_max</t>
  </si>
  <si>
    <t>result</t>
  </si>
  <si>
    <t>set value</t>
  </si>
  <si>
    <t>w</t>
  </si>
  <si>
    <t>current</t>
  </si>
  <si>
    <t>x</t>
  </si>
  <si>
    <t>y</t>
  </si>
  <si>
    <t>control output</t>
  </si>
  <si>
    <t>y_min</t>
  </si>
  <si>
    <t>y_max</t>
  </si>
  <si>
    <t>max_output</t>
  </si>
  <si>
    <t>Kp</t>
  </si>
  <si>
    <t>Ki</t>
  </si>
  <si>
    <t>Kd</t>
  </si>
  <si>
    <t>error</t>
  </si>
  <si>
    <t>e (w-x)</t>
  </si>
  <si>
    <t>rpmcalc</t>
  </si>
  <si>
    <t>rpm</t>
  </si>
  <si>
    <t>ticks</t>
  </si>
  <si>
    <t>ticks/rev</t>
  </si>
  <si>
    <t>lastRPMtime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</si>
</sst>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sz val="13"/>
      <color rgb="FF282828"/>
      <name val="Georgia"/>
      <family val="1"/>
    </font>
    <font>
      <sz val="11"/>
      <color rgb="FF202124"/>
      <name val="Arial"/>
      <family val="2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textRotation="45"/>
    </xf>
    <xf numFmtId="0" fontId="4" fillId="0" borderId="0" xfId="0" applyFont="1" applyAlignment="1">
      <alignment textRotation="45"/>
    </xf>
    <xf numFmtId="0" fontId="6" fillId="0" borderId="0" xfId="0" applyFont="1" applyAlignment="1">
      <alignment textRotation="45"/>
    </xf>
    <xf numFmtId="0" fontId="8" fillId="0" borderId="0" xfId="0" applyFont="1" applyAlignment="1">
      <alignment vertical="center"/>
    </xf>
    <xf numFmtId="0" fontId="3" fillId="3" borderId="3" xfId="3" applyAlignment="1">
      <alignment horizontal="center"/>
    </xf>
    <xf numFmtId="0" fontId="3" fillId="3" borderId="3" xfId="3" applyAlignment="1">
      <alignment horizontal="center"/>
    </xf>
    <xf numFmtId="0" fontId="1" fillId="0" borderId="1" xfId="1" applyAlignment="1">
      <alignment horizontal="center"/>
    </xf>
    <xf numFmtId="0" fontId="2" fillId="2" borderId="2" xfId="2" applyAlignment="1">
      <alignment horizontal="center"/>
    </xf>
    <xf numFmtId="0" fontId="11" fillId="0" borderId="0" xfId="0" applyFont="1"/>
  </cellXfs>
  <cellStyles count="4">
    <cellStyle name="Invoer" xfId="2" builtinId="20"/>
    <cellStyle name="Kop 1" xfId="1" builtinId="16"/>
    <cellStyle name="Standaard" xfId="0" builtinId="0"/>
    <cellStyle name="Uitvoer" xfId="3" builtinId="21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B4:U28" totalsRowCount="1">
  <autoFilter ref="B4:U27"/>
  <tableColumns count="20">
    <tableColumn id="1" name="Richting">
      <calculatedColumnFormula>IF(ABS(D5)&lt;&gt;0,D5/ABS(D5),1)</calculatedColumnFormula>
    </tableColumn>
    <tableColumn id="2" name="Diameter cirkel"/>
    <tableColumn id="3" name="Hoek "/>
    <tableColumn id="4" name="WielDiameter"/>
    <tableColumn id="5" name="WielOmtrek"/>
    <tableColumn id="6" name="Wielbasis"/>
    <tableColumn id="7" name="af te leggen afstand"/>
    <tableColumn id="8" name="snelheid (rpm) V"/>
    <tableColumn id="20" name="snelheid (KM/H)" dataDxfId="16" totalsRowDxfId="6">
      <calculatedColumnFormula>Tabel1[[#This Row],[snelheid (rpm) V]]*Tabel1[[#This Row],[WielOmtrek]]*60/10000</calculatedColumnFormula>
    </tableColumn>
    <tableColumn id="9" name="verhouding" dataDxfId="9">
      <calculatedColumnFormula>Tabel1[[#This Row],[Dl]]/Tabel1[[#This Row],[Dr]]</calculatedColumnFormula>
    </tableColumn>
    <tableColumn id="12" name="Vl" dataDxfId="8">
      <calculatedColumnFormula>IF(Tabel1[[#This Row],[Dl]]=0,0,IF(Tabel1[[#This Row],[Dr]]=0,Tabel1[[#This Row],[snelheid (rpm) V]]*Tabel1[[#This Row],[Richting]],Tabel1[[#This Row],[snelheid (rpm) V]]*Tabel1[[#This Row],[verhouding]]+Tabel1[[#This Row],[snelheid (rpm) V]]/2))</calculatedColumnFormula>
    </tableColumn>
    <tableColumn id="13" name="Vr" dataDxfId="7">
      <calculatedColumnFormula>IF(O5=0,0,IF(Tabel1[[#This Row],[Dl]]=0,Tabel1[[#This Row],[snelheid (rpm) V]]*B4,Tabel1[[#This Row],[Vl]]/Tabel1[[#This Row],[verhouding]]))</calculatedColumnFormula>
    </tableColumn>
    <tableColumn id="15" name="Dl" dataDxfId="15" totalsRowDxfId="5">
      <calculatedColumnFormula>(Tabel1[[#This Row],[Richting]]*D5/360)*PI()*(C5+G5/2*Tabel1[[#This Row],[Richting]])</calculatedColumnFormula>
    </tableColumn>
    <tableColumn id="16" name="Dr" dataDxfId="14" totalsRowDxfId="4">
      <calculatedColumnFormula>(Tabel1[[#This Row],[Richting]]*D5/360)*PI()*(C5-G5/2*Tabel1[[#This Row],[Richting]])</calculatedColumnFormula>
    </tableColumn>
    <tableColumn id="21" name="omwL" dataDxfId="13" totalsRowDxfId="3">
      <calculatedColumnFormula>Tabel1[[#This Row],[Dl]]/Tabel1[[#This Row],[WielOmtrek]]</calculatedColumnFormula>
    </tableColumn>
    <tableColumn id="22" name="omwR" dataDxfId="12" totalsRowDxfId="2">
      <calculatedColumnFormula>Tabel1[[#This Row],[Dr]]/Tabel1[[#This Row],[WielOmtrek]]</calculatedColumnFormula>
    </tableColumn>
    <tableColumn id="14" name="tijd links" dataDxfId="11" totalsRowDxfId="1">
      <calculatedColumnFormula>Tabel1[[#This Row],[omwL]]/Tabel1[[#This Row],[Vl]]</calculatedColumnFormula>
    </tableColumn>
    <tableColumn id="17" name="tijd rechts" dataDxfId="10" totalsRowDxfId="0">
      <calculatedColumnFormula>Tabel1[[#This Row],[omwR]]/Tabel1[[#This Row],[Vr]]</calculatedColumnFormula>
    </tableColumn>
    <tableColumn id="18" name="Dc">
      <calculatedColumnFormula>H5</calculatedColumnFormula>
    </tableColumn>
    <tableColumn id="19" name="Dcontro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2"/>
  <sheetViews>
    <sheetView topLeftCell="C1" workbookViewId="0">
      <selection activeCell="C15" sqref="C15"/>
    </sheetView>
  </sheetViews>
  <sheetFormatPr defaultRowHeight="15" x14ac:dyDescent="0.25"/>
  <cols>
    <col min="2" max="2" width="10.28515625" customWidth="1"/>
    <col min="3" max="3" width="16.7109375" customWidth="1"/>
    <col min="5" max="5" width="16" bestFit="1" customWidth="1"/>
    <col min="6" max="6" width="14.28515625" bestFit="1" customWidth="1"/>
    <col min="7" max="7" width="11.5703125" bestFit="1" customWidth="1"/>
    <col min="8" max="8" width="20.5703125" customWidth="1"/>
    <col min="9" max="10" width="18" customWidth="1"/>
    <col min="11" max="11" width="13.42578125" bestFit="1" customWidth="1"/>
    <col min="12" max="12" width="7.5703125" bestFit="1" customWidth="1"/>
    <col min="13" max="14" width="12" bestFit="1" customWidth="1"/>
    <col min="15" max="15" width="10.28515625" bestFit="1" customWidth="1"/>
    <col min="16" max="19" width="10.28515625" customWidth="1"/>
    <col min="20" max="20" width="8.28515625" bestFit="1" customWidth="1"/>
    <col min="21" max="21" width="11.85546875" customWidth="1"/>
  </cols>
  <sheetData>
    <row r="2" spans="2:21" ht="20.25" thickBot="1" x14ac:dyDescent="0.35">
      <c r="C2" s="13" t="s">
        <v>72</v>
      </c>
      <c r="D2" s="13"/>
      <c r="E2" s="12" t="s">
        <v>71</v>
      </c>
      <c r="F2" s="12"/>
      <c r="G2" s="12"/>
      <c r="L2" s="11" t="s">
        <v>70</v>
      </c>
      <c r="M2" s="11"/>
      <c r="N2" s="11"/>
      <c r="O2" s="11"/>
      <c r="P2" s="10"/>
      <c r="Q2" s="10"/>
      <c r="R2" s="10"/>
      <c r="S2" s="10"/>
    </row>
    <row r="3" spans="2:21" ht="69.75" thickTop="1" x14ac:dyDescent="0.25">
      <c r="C3" s="6" t="s">
        <v>60</v>
      </c>
      <c r="D3" s="7" t="s">
        <v>31</v>
      </c>
      <c r="E3" s="6" t="s">
        <v>59</v>
      </c>
      <c r="F3" s="8" t="s">
        <v>62</v>
      </c>
      <c r="G3" s="8" t="s">
        <v>23</v>
      </c>
      <c r="H3" s="6" t="s">
        <v>74</v>
      </c>
      <c r="I3" s="6" t="s">
        <v>73</v>
      </c>
      <c r="J3" s="6" t="s">
        <v>78</v>
      </c>
      <c r="K3" s="6" t="s">
        <v>66</v>
      </c>
      <c r="L3" s="6" t="s">
        <v>76</v>
      </c>
      <c r="M3" s="6" t="s">
        <v>77</v>
      </c>
      <c r="N3" s="6" t="s">
        <v>68</v>
      </c>
      <c r="O3" s="6" t="s">
        <v>69</v>
      </c>
      <c r="P3" s="6"/>
      <c r="Q3" s="6"/>
      <c r="R3" s="6"/>
      <c r="S3" s="6"/>
      <c r="T3" s="6" t="s">
        <v>63</v>
      </c>
      <c r="U3" s="6" t="s">
        <v>65</v>
      </c>
    </row>
    <row r="4" spans="2:21" x14ac:dyDescent="0.25">
      <c r="B4" t="s">
        <v>67</v>
      </c>
      <c r="C4" t="s">
        <v>61</v>
      </c>
      <c r="D4" t="s">
        <v>45</v>
      </c>
      <c r="E4" t="s">
        <v>54</v>
      </c>
      <c r="F4" t="s">
        <v>55</v>
      </c>
      <c r="G4" t="s">
        <v>75</v>
      </c>
      <c r="H4" t="s">
        <v>46</v>
      </c>
      <c r="I4" t="s">
        <v>49</v>
      </c>
      <c r="J4" t="s">
        <v>79</v>
      </c>
      <c r="K4" t="s">
        <v>14</v>
      </c>
      <c r="L4" t="s">
        <v>27</v>
      </c>
      <c r="M4" t="s">
        <v>29</v>
      </c>
      <c r="N4" t="s">
        <v>52</v>
      </c>
      <c r="O4" t="s">
        <v>53</v>
      </c>
      <c r="P4" t="s">
        <v>113</v>
      </c>
      <c r="Q4" t="s">
        <v>114</v>
      </c>
      <c r="R4" t="s">
        <v>107</v>
      </c>
      <c r="S4" t="s">
        <v>108</v>
      </c>
      <c r="T4" t="s">
        <v>44</v>
      </c>
      <c r="U4" t="s">
        <v>64</v>
      </c>
    </row>
    <row r="5" spans="2:21" x14ac:dyDescent="0.25">
      <c r="B5">
        <f>IF(ABS(D5)&lt;&gt;0,D5/ABS(D5),1)</f>
        <v>-1</v>
      </c>
      <c r="C5">
        <v>0</v>
      </c>
      <c r="D5">
        <v>-180</v>
      </c>
      <c r="E5">
        <v>25</v>
      </c>
      <c r="F5" s="5">
        <f t="shared" ref="F5:F11" si="0">E5*PI()</f>
        <v>78.539816339744831</v>
      </c>
      <c r="G5" s="5">
        <v>40</v>
      </c>
      <c r="H5" s="5">
        <f>(D5/360)*PI()*C5</f>
        <v>0</v>
      </c>
      <c r="I5" s="5">
        <v>16</v>
      </c>
      <c r="J5" s="5">
        <f>Tabel1[[#This Row],[snelheid (rpm) V]]*Tabel1[[#This Row],[WielOmtrek]]*60/10000</f>
        <v>7.5398223686155035</v>
      </c>
      <c r="K5" s="5">
        <f>Tabel1[[#This Row],[Dl]]/Tabel1[[#This Row],[Dr]]</f>
        <v>-1</v>
      </c>
      <c r="L5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-8</v>
      </c>
      <c r="M5" s="5">
        <f>IF(O5=0,0,IF(Tabel1[[#This Row],[Dl]]=0,Tabel1[[#This Row],[snelheid (rpm) V]]*B4,Tabel1[[#This Row],[Vl]]/Tabel1[[#This Row],[verhouding]]))</f>
        <v>8</v>
      </c>
      <c r="N5" s="5">
        <f>(Tabel1[[#This Row],[Richting]]*D5/360)*PI()*(C5+G5/2*Tabel1[[#This Row],[Richting]])</f>
        <v>-31.415926535897931</v>
      </c>
      <c r="O5" s="5">
        <f>(Tabel1[[#This Row],[Richting]]*D5/360)*PI()*(C5-G5/2*Tabel1[[#This Row],[Richting]])</f>
        <v>31.415926535897931</v>
      </c>
      <c r="P5" s="5">
        <f>Tabel1[[#This Row],[Dl]]/Tabel1[[#This Row],[WielOmtrek]]</f>
        <v>-0.39999999999999997</v>
      </c>
      <c r="Q5" s="5">
        <f>Tabel1[[#This Row],[Dr]]/Tabel1[[#This Row],[WielOmtrek]]</f>
        <v>0.39999999999999997</v>
      </c>
      <c r="R5" s="5">
        <f>Tabel1[[#This Row],[omwL]]/Tabel1[[#This Row],[Vl]]</f>
        <v>4.9999999999999996E-2</v>
      </c>
      <c r="S5" s="5">
        <f>Tabel1[[#This Row],[omwR]]/Tabel1[[#This Row],[Vr]]</f>
        <v>4.9999999999999996E-2</v>
      </c>
      <c r="T5" s="3">
        <f t="shared" ref="T5:T27" si="1">H5</f>
        <v>0</v>
      </c>
      <c r="U5" s="3">
        <f t="shared" ref="U5:U11" si="2">(N5+O5)/2</f>
        <v>0</v>
      </c>
    </row>
    <row r="6" spans="2:21" x14ac:dyDescent="0.25">
      <c r="B6">
        <f t="shared" ref="B6:B27" si="3">IF(ABS(D6)&lt;&gt;0,D6/ABS(D6),1)</f>
        <v>1</v>
      </c>
      <c r="C6">
        <v>-20</v>
      </c>
      <c r="D6">
        <v>180</v>
      </c>
      <c r="E6">
        <v>25</v>
      </c>
      <c r="F6" s="5">
        <f t="shared" si="0"/>
        <v>78.539816339744831</v>
      </c>
      <c r="G6" s="5">
        <v>40</v>
      </c>
      <c r="H6" s="5">
        <f t="shared" ref="H6:H10" si="4">(D6/360)*PI()*C6</f>
        <v>-31.415926535897931</v>
      </c>
      <c r="I6" s="5">
        <v>16</v>
      </c>
      <c r="J6" s="5">
        <f>Tabel1[[#This Row],[snelheid (rpm) V]]*Tabel1[[#This Row],[WielOmtrek]]*60/10000</f>
        <v>7.5398223686155035</v>
      </c>
      <c r="K6" s="5">
        <f>Tabel1[[#This Row],[Dl]]/Tabel1[[#This Row],[Dr]]</f>
        <v>0</v>
      </c>
      <c r="L6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0</v>
      </c>
      <c r="M6" s="5">
        <f>IF(O6=0,0,IF(Tabel1[[#This Row],[Dl]]=0,Tabel1[[#This Row],[snelheid (rpm) V]]*B5,Tabel1[[#This Row],[Vl]]/Tabel1[[#This Row],[verhouding]]))</f>
        <v>-16</v>
      </c>
      <c r="N6" s="5">
        <f>(Tabel1[[#This Row],[Richting]]*D6/360)*PI()*(C6+G6/2*Tabel1[[#This Row],[Richting]])</f>
        <v>0</v>
      </c>
      <c r="O6" s="5">
        <f>(Tabel1[[#This Row],[Richting]]*D6/360)*PI()*(C6-G6/2*Tabel1[[#This Row],[Richting]])</f>
        <v>-62.831853071795862</v>
      </c>
      <c r="P6" s="5">
        <f>Tabel1[[#This Row],[Dl]]/Tabel1[[#This Row],[WielOmtrek]]</f>
        <v>0</v>
      </c>
      <c r="Q6" s="5">
        <f>Tabel1[[#This Row],[Dr]]/Tabel1[[#This Row],[WielOmtrek]]</f>
        <v>-0.79999999999999993</v>
      </c>
      <c r="R6" s="5" t="e">
        <f>Tabel1[[#This Row],[omwL]]/Tabel1[[#This Row],[Vl]]</f>
        <v>#DIV/0!</v>
      </c>
      <c r="S6" s="5">
        <f>Tabel1[[#This Row],[omwR]]/Tabel1[[#This Row],[Vr]]</f>
        <v>4.9999999999999996E-2</v>
      </c>
      <c r="T6" s="3">
        <f t="shared" si="1"/>
        <v>-31.415926535897931</v>
      </c>
      <c r="U6" s="3">
        <f t="shared" si="2"/>
        <v>-31.415926535897931</v>
      </c>
    </row>
    <row r="7" spans="2:21" x14ac:dyDescent="0.25">
      <c r="B7">
        <f t="shared" si="3"/>
        <v>-1</v>
      </c>
      <c r="C7">
        <v>20</v>
      </c>
      <c r="D7">
        <v>-180</v>
      </c>
      <c r="E7">
        <v>25</v>
      </c>
      <c r="F7" s="5">
        <f t="shared" si="0"/>
        <v>78.539816339744831</v>
      </c>
      <c r="G7" s="5">
        <v>40</v>
      </c>
      <c r="H7" s="5">
        <f t="shared" si="4"/>
        <v>-31.415926535897931</v>
      </c>
      <c r="I7" s="5">
        <v>16</v>
      </c>
      <c r="J7" s="5">
        <f>Tabel1[[#This Row],[snelheid (rpm) V]]*Tabel1[[#This Row],[WielOmtrek]]*60/10000</f>
        <v>7.5398223686155035</v>
      </c>
      <c r="K7" s="5">
        <f>Tabel1[[#This Row],[Dl]]/Tabel1[[#This Row],[Dr]]</f>
        <v>0</v>
      </c>
      <c r="L7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0</v>
      </c>
      <c r="M7" s="5">
        <f>IF(O7=0,0,IF(Tabel1[[#This Row],[Dl]]=0,Tabel1[[#This Row],[snelheid (rpm) V]]*B6,Tabel1[[#This Row],[Vl]]/Tabel1[[#This Row],[verhouding]]))</f>
        <v>16</v>
      </c>
      <c r="N7" s="5">
        <f>(Tabel1[[#This Row],[Richting]]*D7/360)*PI()*(C7+G7/2*Tabel1[[#This Row],[Richting]])</f>
        <v>0</v>
      </c>
      <c r="O7" s="5">
        <f>(Tabel1[[#This Row],[Richting]]*D7/360)*PI()*(C7-G7/2*Tabel1[[#This Row],[Richting]])</f>
        <v>62.831853071795862</v>
      </c>
      <c r="P7" s="5">
        <f>Tabel1[[#This Row],[Dl]]/Tabel1[[#This Row],[WielOmtrek]]</f>
        <v>0</v>
      </c>
      <c r="Q7" s="5">
        <f>Tabel1[[#This Row],[Dr]]/Tabel1[[#This Row],[WielOmtrek]]</f>
        <v>0.79999999999999993</v>
      </c>
      <c r="R7" s="5" t="e">
        <f>Tabel1[[#This Row],[omwL]]/Tabel1[[#This Row],[Vl]]</f>
        <v>#DIV/0!</v>
      </c>
      <c r="S7" s="5">
        <f>Tabel1[[#This Row],[omwR]]/Tabel1[[#This Row],[Vr]]</f>
        <v>4.9999999999999996E-2</v>
      </c>
      <c r="T7" s="3">
        <f t="shared" si="1"/>
        <v>-31.415926535897931</v>
      </c>
      <c r="U7" s="3">
        <f t="shared" si="2"/>
        <v>31.415926535897931</v>
      </c>
    </row>
    <row r="8" spans="2:21" x14ac:dyDescent="0.25">
      <c r="B8">
        <f t="shared" si="3"/>
        <v>1</v>
      </c>
      <c r="C8">
        <v>40</v>
      </c>
      <c r="D8">
        <v>180</v>
      </c>
      <c r="E8">
        <v>25</v>
      </c>
      <c r="F8" s="5">
        <f t="shared" si="0"/>
        <v>78.539816339744831</v>
      </c>
      <c r="G8" s="5">
        <v>40</v>
      </c>
      <c r="H8" s="5">
        <f t="shared" si="4"/>
        <v>62.831853071795862</v>
      </c>
      <c r="I8" s="5">
        <v>16</v>
      </c>
      <c r="J8" s="5">
        <f>Tabel1[[#This Row],[snelheid (rpm) V]]*Tabel1[[#This Row],[WielOmtrek]]*60/10000</f>
        <v>7.5398223686155035</v>
      </c>
      <c r="K8" s="5">
        <f>Tabel1[[#This Row],[Dl]]/Tabel1[[#This Row],[Dr]]</f>
        <v>2.9999999999999996</v>
      </c>
      <c r="L8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55.999999999999993</v>
      </c>
      <c r="M8" s="5">
        <f>IF(O8=0,0,IF(Tabel1[[#This Row],[Dl]]=0,Tabel1[[#This Row],[snelheid (rpm) V]]*B7,Tabel1[[#This Row],[Vl]]/Tabel1[[#This Row],[verhouding]]))</f>
        <v>18.666666666666668</v>
      </c>
      <c r="N8" s="5">
        <f>(Tabel1[[#This Row],[Richting]]*D8/360)*PI()*(C8+G8/2*Tabel1[[#This Row],[Richting]])</f>
        <v>94.247779607693786</v>
      </c>
      <c r="O8" s="5">
        <f>(Tabel1[[#This Row],[Richting]]*D8/360)*PI()*(C8-G8/2*Tabel1[[#This Row],[Richting]])</f>
        <v>31.415926535897931</v>
      </c>
      <c r="P8" s="5">
        <f>Tabel1[[#This Row],[Dl]]/Tabel1[[#This Row],[WielOmtrek]]</f>
        <v>1.2</v>
      </c>
      <c r="Q8" s="5">
        <f>Tabel1[[#This Row],[Dr]]/Tabel1[[#This Row],[WielOmtrek]]</f>
        <v>0.39999999999999997</v>
      </c>
      <c r="R8" s="5">
        <f>Tabel1[[#This Row],[omwL]]/Tabel1[[#This Row],[Vl]]</f>
        <v>2.1428571428571429E-2</v>
      </c>
      <c r="S8" s="5">
        <f>Tabel1[[#This Row],[omwR]]/Tabel1[[#This Row],[Vr]]</f>
        <v>2.1428571428571425E-2</v>
      </c>
      <c r="T8" s="3">
        <f t="shared" si="1"/>
        <v>62.831853071795862</v>
      </c>
      <c r="U8" s="3">
        <f t="shared" si="2"/>
        <v>62.831853071795862</v>
      </c>
    </row>
    <row r="9" spans="2:21" x14ac:dyDescent="0.25">
      <c r="B9">
        <f t="shared" si="3"/>
        <v>1</v>
      </c>
      <c r="C9">
        <v>50</v>
      </c>
      <c r="D9">
        <v>180</v>
      </c>
      <c r="E9">
        <v>25</v>
      </c>
      <c r="F9" s="5">
        <f t="shared" si="0"/>
        <v>78.539816339744831</v>
      </c>
      <c r="G9" s="5">
        <v>40</v>
      </c>
      <c r="H9" s="5">
        <f t="shared" si="4"/>
        <v>78.539816339744831</v>
      </c>
      <c r="I9" s="5">
        <v>16</v>
      </c>
      <c r="J9" s="5">
        <f>Tabel1[[#This Row],[snelheid (rpm) V]]*Tabel1[[#This Row],[WielOmtrek]]*60/10000</f>
        <v>7.5398223686155035</v>
      </c>
      <c r="K9" s="5">
        <f>Tabel1[[#This Row],[Dl]]/Tabel1[[#This Row],[Dr]]</f>
        <v>2.3333333333333335</v>
      </c>
      <c r="L9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45.333333333333336</v>
      </c>
      <c r="M9" s="5">
        <f>IF(O9=0,0,IF(Tabel1[[#This Row],[Dl]]=0,Tabel1[[#This Row],[snelheid (rpm) V]]*B8,Tabel1[[#This Row],[Vl]]/Tabel1[[#This Row],[verhouding]]))</f>
        <v>19.428571428571427</v>
      </c>
      <c r="N9" s="5">
        <f>(Tabel1[[#This Row],[Richting]]*D9/360)*PI()*(C9+G9/2*Tabel1[[#This Row],[Richting]])</f>
        <v>109.95574287564276</v>
      </c>
      <c r="O9" s="5">
        <f>(Tabel1[[#This Row],[Richting]]*D9/360)*PI()*(C9-G9/2*Tabel1[[#This Row],[Richting]])</f>
        <v>47.123889803846893</v>
      </c>
      <c r="P9" s="5">
        <f>Tabel1[[#This Row],[Dl]]/Tabel1[[#This Row],[WielOmtrek]]</f>
        <v>1.4</v>
      </c>
      <c r="Q9" s="5">
        <f>Tabel1[[#This Row],[Dr]]/Tabel1[[#This Row],[WielOmtrek]]</f>
        <v>0.6</v>
      </c>
      <c r="R9" s="5">
        <f>Tabel1[[#This Row],[omwL]]/Tabel1[[#This Row],[Vl]]</f>
        <v>3.0882352941176468E-2</v>
      </c>
      <c r="S9" s="5">
        <f>Tabel1[[#This Row],[omwR]]/Tabel1[[#This Row],[Vr]]</f>
        <v>3.0882352941176472E-2</v>
      </c>
      <c r="T9" s="3">
        <f t="shared" si="1"/>
        <v>78.539816339744831</v>
      </c>
      <c r="U9" s="3">
        <f t="shared" si="2"/>
        <v>78.539816339744817</v>
      </c>
    </row>
    <row r="10" spans="2:21" x14ac:dyDescent="0.25">
      <c r="B10">
        <f t="shared" si="3"/>
        <v>1</v>
      </c>
      <c r="C10">
        <v>60</v>
      </c>
      <c r="D10">
        <v>180</v>
      </c>
      <c r="E10">
        <v>25</v>
      </c>
      <c r="F10" s="5">
        <f t="shared" si="0"/>
        <v>78.539816339744831</v>
      </c>
      <c r="G10" s="5">
        <v>40</v>
      </c>
      <c r="H10" s="5">
        <f t="shared" si="4"/>
        <v>94.247779607693786</v>
      </c>
      <c r="I10" s="5">
        <v>16</v>
      </c>
      <c r="J10" s="5">
        <f>Tabel1[[#This Row],[snelheid (rpm) V]]*Tabel1[[#This Row],[WielOmtrek]]*60/10000</f>
        <v>7.5398223686155035</v>
      </c>
      <c r="K10" s="5">
        <f>Tabel1[[#This Row],[Dl]]/Tabel1[[#This Row],[Dr]]</f>
        <v>2</v>
      </c>
      <c r="L10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40</v>
      </c>
      <c r="M10" s="5">
        <f>IF(O10=0,0,IF(Tabel1[[#This Row],[Dl]]=0,Tabel1[[#This Row],[snelheid (rpm) V]]*B9,Tabel1[[#This Row],[Vl]]/Tabel1[[#This Row],[verhouding]]))</f>
        <v>20</v>
      </c>
      <c r="N10" s="5">
        <f>(Tabel1[[#This Row],[Richting]]*D10/360)*PI()*(C10+G10/2*Tabel1[[#This Row],[Richting]])</f>
        <v>125.66370614359172</v>
      </c>
      <c r="O10" s="5">
        <f>(Tabel1[[#This Row],[Richting]]*D10/360)*PI()*(C10-G10/2*Tabel1[[#This Row],[Richting]])</f>
        <v>62.831853071795862</v>
      </c>
      <c r="P10" s="5">
        <f>Tabel1[[#This Row],[Dl]]/Tabel1[[#This Row],[WielOmtrek]]</f>
        <v>1.5999999999999999</v>
      </c>
      <c r="Q10" s="5">
        <f>Tabel1[[#This Row],[Dr]]/Tabel1[[#This Row],[WielOmtrek]]</f>
        <v>0.79999999999999993</v>
      </c>
      <c r="R10" s="5">
        <f>Tabel1[[#This Row],[omwL]]/Tabel1[[#This Row],[Vl]]</f>
        <v>3.9999999999999994E-2</v>
      </c>
      <c r="S10" s="5">
        <f>Tabel1[[#This Row],[omwR]]/Tabel1[[#This Row],[Vr]]</f>
        <v>3.9999999999999994E-2</v>
      </c>
      <c r="T10" s="3">
        <f t="shared" si="1"/>
        <v>94.247779607693786</v>
      </c>
      <c r="U10" s="3">
        <f t="shared" si="2"/>
        <v>94.247779607693786</v>
      </c>
    </row>
    <row r="11" spans="2:21" x14ac:dyDescent="0.25">
      <c r="B11">
        <f t="shared" si="3"/>
        <v>1</v>
      </c>
      <c r="C11">
        <v>70</v>
      </c>
      <c r="D11">
        <v>180</v>
      </c>
      <c r="E11">
        <v>25</v>
      </c>
      <c r="F11" s="5">
        <f t="shared" si="0"/>
        <v>78.539816339744831</v>
      </c>
      <c r="G11" s="5">
        <v>40</v>
      </c>
      <c r="H11" s="5">
        <f t="shared" ref="H11" si="5">(D11/360)*PI()*C11</f>
        <v>109.95574287564276</v>
      </c>
      <c r="I11" s="5">
        <v>16</v>
      </c>
      <c r="J11" s="5">
        <f>Tabel1[[#This Row],[snelheid (rpm) V]]*Tabel1[[#This Row],[WielOmtrek]]*60/10000</f>
        <v>7.5398223686155035</v>
      </c>
      <c r="K11" s="5">
        <f>Tabel1[[#This Row],[Dl]]/Tabel1[[#This Row],[Dr]]</f>
        <v>1.8</v>
      </c>
      <c r="L11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36.799999999999997</v>
      </c>
      <c r="M11" s="5">
        <f>IF(O11=0,0,IF(Tabel1[[#This Row],[Dl]]=0,Tabel1[[#This Row],[snelheid (rpm) V]]*B10,Tabel1[[#This Row],[Vl]]/Tabel1[[#This Row],[verhouding]]))</f>
        <v>20.444444444444443</v>
      </c>
      <c r="N11" s="5">
        <f>(Tabel1[[#This Row],[Richting]]*D11/360)*PI()*(C11+G11/2*Tabel1[[#This Row],[Richting]])</f>
        <v>141.37166941154069</v>
      </c>
      <c r="O11" s="5">
        <f>(Tabel1[[#This Row],[Richting]]*D11/360)*PI()*(C11-G11/2*Tabel1[[#This Row],[Richting]])</f>
        <v>78.539816339744831</v>
      </c>
      <c r="P11" s="5">
        <f>Tabel1[[#This Row],[Dl]]/Tabel1[[#This Row],[WielOmtrek]]</f>
        <v>1.8</v>
      </c>
      <c r="Q11" s="5">
        <f>Tabel1[[#This Row],[Dr]]/Tabel1[[#This Row],[WielOmtrek]]</f>
        <v>1</v>
      </c>
      <c r="R11" s="5">
        <f>Tabel1[[#This Row],[omwL]]/Tabel1[[#This Row],[Vl]]</f>
        <v>4.8913043478260872E-2</v>
      </c>
      <c r="S11" s="5">
        <f>Tabel1[[#This Row],[omwR]]/Tabel1[[#This Row],[Vr]]</f>
        <v>4.8913043478260872E-2</v>
      </c>
      <c r="T11" s="3">
        <f t="shared" si="1"/>
        <v>109.95574287564276</v>
      </c>
      <c r="U11" s="3">
        <f t="shared" si="2"/>
        <v>109.95574287564276</v>
      </c>
    </row>
    <row r="12" spans="2:21" x14ac:dyDescent="0.25">
      <c r="B12">
        <f t="shared" si="3"/>
        <v>1</v>
      </c>
      <c r="C12">
        <v>80</v>
      </c>
      <c r="D12">
        <v>180</v>
      </c>
      <c r="E12">
        <v>25</v>
      </c>
      <c r="F12" s="5">
        <f t="shared" ref="F12:F27" si="6">E12*PI()</f>
        <v>78.539816339744831</v>
      </c>
      <c r="G12" s="5">
        <v>40</v>
      </c>
      <c r="H12" s="5">
        <f t="shared" ref="H12:H27" si="7">(D12/360)*PI()*C12</f>
        <v>125.66370614359172</v>
      </c>
      <c r="I12" s="5">
        <v>16</v>
      </c>
      <c r="J12" s="5">
        <f>Tabel1[[#This Row],[snelheid (rpm) V]]*Tabel1[[#This Row],[WielOmtrek]]*60/10000</f>
        <v>7.5398223686155035</v>
      </c>
      <c r="K12" s="5">
        <f>Tabel1[[#This Row],[Dl]]/Tabel1[[#This Row],[Dr]]</f>
        <v>1.666666666666667</v>
      </c>
      <c r="L12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34.666666666666671</v>
      </c>
      <c r="M12" s="5">
        <f>IF(O12=0,0,IF(Tabel1[[#This Row],[Dl]]=0,Tabel1[[#This Row],[snelheid (rpm) V]]*B11,Tabel1[[#This Row],[Vl]]/Tabel1[[#This Row],[verhouding]]))</f>
        <v>20.8</v>
      </c>
      <c r="N12" s="5">
        <f>(Tabel1[[#This Row],[Richting]]*D12/360)*PI()*(C12+G12/2*Tabel1[[#This Row],[Richting]])</f>
        <v>157.07963267948966</v>
      </c>
      <c r="O12" s="5">
        <f>(Tabel1[[#This Row],[Richting]]*D12/360)*PI()*(C12-G12/2*Tabel1[[#This Row],[Richting]])</f>
        <v>94.247779607693786</v>
      </c>
      <c r="P12" s="5">
        <f>Tabel1[[#This Row],[Dl]]/Tabel1[[#This Row],[WielOmtrek]]</f>
        <v>2</v>
      </c>
      <c r="Q12" s="5">
        <f>Tabel1[[#This Row],[Dr]]/Tabel1[[#This Row],[WielOmtrek]]</f>
        <v>1.2</v>
      </c>
      <c r="R12" s="5">
        <f>Tabel1[[#This Row],[omwL]]/Tabel1[[#This Row],[Vl]]</f>
        <v>5.7692307692307682E-2</v>
      </c>
      <c r="S12" s="5">
        <f>Tabel1[[#This Row],[omwR]]/Tabel1[[#This Row],[Vr]]</f>
        <v>5.7692307692307689E-2</v>
      </c>
      <c r="T12" s="3">
        <f t="shared" si="1"/>
        <v>125.66370614359172</v>
      </c>
      <c r="U12" s="3">
        <f t="shared" ref="U12:U27" si="8">(N12+O12)/2</f>
        <v>125.66370614359172</v>
      </c>
    </row>
    <row r="13" spans="2:21" x14ac:dyDescent="0.25">
      <c r="B13">
        <f t="shared" si="3"/>
        <v>-1</v>
      </c>
      <c r="C13">
        <v>80</v>
      </c>
      <c r="D13">
        <v>-180</v>
      </c>
      <c r="E13">
        <v>25</v>
      </c>
      <c r="F13" s="5">
        <f t="shared" si="6"/>
        <v>78.539816339744831</v>
      </c>
      <c r="G13" s="5">
        <v>40</v>
      </c>
      <c r="H13" s="5">
        <f t="shared" si="7"/>
        <v>-125.66370614359172</v>
      </c>
      <c r="I13" s="5">
        <v>16</v>
      </c>
      <c r="J13" s="5">
        <f>Tabel1[[#This Row],[snelheid (rpm) V]]*Tabel1[[#This Row],[WielOmtrek]]*60/10000</f>
        <v>7.5398223686155035</v>
      </c>
      <c r="K13" s="5">
        <f>Tabel1[[#This Row],[Dl]]/Tabel1[[#This Row],[Dr]]</f>
        <v>0.6</v>
      </c>
      <c r="L13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17.600000000000001</v>
      </c>
      <c r="M13" s="5">
        <f>IF(O13=0,0,IF(Tabel1[[#This Row],[Dl]]=0,Tabel1[[#This Row],[snelheid (rpm) V]]*B12,Tabel1[[#This Row],[Vl]]/Tabel1[[#This Row],[verhouding]]))</f>
        <v>29.333333333333336</v>
      </c>
      <c r="N13" s="5">
        <f>(Tabel1[[#This Row],[Richting]]*D13/360)*PI()*(C13+G13/2*Tabel1[[#This Row],[Richting]])</f>
        <v>94.247779607693786</v>
      </c>
      <c r="O13" s="5">
        <f>(Tabel1[[#This Row],[Richting]]*D13/360)*PI()*(C13-G13/2*Tabel1[[#This Row],[Richting]])</f>
        <v>157.07963267948966</v>
      </c>
      <c r="P13" s="5">
        <f>Tabel1[[#This Row],[Dl]]/Tabel1[[#This Row],[WielOmtrek]]</f>
        <v>1.2</v>
      </c>
      <c r="Q13" s="5">
        <f>Tabel1[[#This Row],[Dr]]/Tabel1[[#This Row],[WielOmtrek]]</f>
        <v>2</v>
      </c>
      <c r="R13" s="5">
        <f>Tabel1[[#This Row],[omwL]]/Tabel1[[#This Row],[Vl]]</f>
        <v>6.8181818181818177E-2</v>
      </c>
      <c r="S13" s="5">
        <f>Tabel1[[#This Row],[omwR]]/Tabel1[[#This Row],[Vr]]</f>
        <v>6.8181818181818177E-2</v>
      </c>
      <c r="T13" s="3">
        <f t="shared" si="1"/>
        <v>-125.66370614359172</v>
      </c>
      <c r="U13" s="3">
        <f t="shared" si="8"/>
        <v>125.66370614359172</v>
      </c>
    </row>
    <row r="14" spans="2:21" x14ac:dyDescent="0.25">
      <c r="B14">
        <f t="shared" si="3"/>
        <v>1</v>
      </c>
      <c r="C14">
        <v>100</v>
      </c>
      <c r="D14">
        <v>180</v>
      </c>
      <c r="E14">
        <v>25</v>
      </c>
      <c r="F14" s="5">
        <f t="shared" si="6"/>
        <v>78.539816339744831</v>
      </c>
      <c r="G14" s="5">
        <v>40</v>
      </c>
      <c r="H14" s="5">
        <f t="shared" si="7"/>
        <v>157.07963267948966</v>
      </c>
      <c r="I14" s="5">
        <v>16</v>
      </c>
      <c r="J14" s="5">
        <f>Tabel1[[#This Row],[snelheid (rpm) V]]*Tabel1[[#This Row],[WielOmtrek]]*60/10000</f>
        <v>7.5398223686155035</v>
      </c>
      <c r="K14" s="5">
        <f>Tabel1[[#This Row],[Dl]]/Tabel1[[#This Row],[Dr]]</f>
        <v>1.4999999999999998</v>
      </c>
      <c r="L14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31.999999999999996</v>
      </c>
      <c r="M14" s="5">
        <f>IF(O14=0,0,IF(Tabel1[[#This Row],[Dl]]=0,Tabel1[[#This Row],[snelheid (rpm) V]]*B13,Tabel1[[#This Row],[Vl]]/Tabel1[[#This Row],[verhouding]]))</f>
        <v>21.333333333333336</v>
      </c>
      <c r="N14" s="5">
        <f>(Tabel1[[#This Row],[Richting]]*D14/360)*PI()*(C14+G14/2*Tabel1[[#This Row],[Richting]])</f>
        <v>188.49555921538757</v>
      </c>
      <c r="O14" s="5">
        <f>(Tabel1[[#This Row],[Richting]]*D14/360)*PI()*(C14-G14/2*Tabel1[[#This Row],[Richting]])</f>
        <v>125.66370614359172</v>
      </c>
      <c r="P14" s="5">
        <f>Tabel1[[#This Row],[Dl]]/Tabel1[[#This Row],[WielOmtrek]]</f>
        <v>2.4</v>
      </c>
      <c r="Q14" s="5">
        <f>Tabel1[[#This Row],[Dr]]/Tabel1[[#This Row],[WielOmtrek]]</f>
        <v>1.5999999999999999</v>
      </c>
      <c r="R14" s="5">
        <f>Tabel1[[#This Row],[omwL]]/Tabel1[[#This Row],[Vl]]</f>
        <v>7.5000000000000011E-2</v>
      </c>
      <c r="S14" s="5">
        <f>Tabel1[[#This Row],[omwR]]/Tabel1[[#This Row],[Vr]]</f>
        <v>7.4999999999999983E-2</v>
      </c>
      <c r="T14" s="3">
        <f t="shared" si="1"/>
        <v>157.07963267948966</v>
      </c>
      <c r="U14" s="3">
        <f t="shared" si="8"/>
        <v>157.07963267948963</v>
      </c>
    </row>
    <row r="15" spans="2:21" x14ac:dyDescent="0.25">
      <c r="B15">
        <f t="shared" si="3"/>
        <v>1</v>
      </c>
      <c r="C15">
        <v>110</v>
      </c>
      <c r="D15">
        <v>180</v>
      </c>
      <c r="E15">
        <v>25</v>
      </c>
      <c r="F15" s="5">
        <f t="shared" si="6"/>
        <v>78.539816339744831</v>
      </c>
      <c r="G15" s="5">
        <v>40</v>
      </c>
      <c r="H15" s="5">
        <f t="shared" si="7"/>
        <v>172.78759594743863</v>
      </c>
      <c r="I15" s="5">
        <v>16</v>
      </c>
      <c r="J15" s="5">
        <f>Tabel1[[#This Row],[snelheid (rpm) V]]*Tabel1[[#This Row],[WielOmtrek]]*60/10000</f>
        <v>7.5398223686155035</v>
      </c>
      <c r="K15" s="5">
        <f>Tabel1[[#This Row],[Dl]]/Tabel1[[#This Row],[Dr]]</f>
        <v>1.4444444444444444</v>
      </c>
      <c r="L15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31.111111111111111</v>
      </c>
      <c r="M15" s="5">
        <f>IF(O15=0,0,IF(Tabel1[[#This Row],[Dl]]=0,Tabel1[[#This Row],[snelheid (rpm) V]]*B14,Tabel1[[#This Row],[Vl]]/Tabel1[[#This Row],[verhouding]]))</f>
        <v>21.53846153846154</v>
      </c>
      <c r="N15" s="5">
        <f>(Tabel1[[#This Row],[Richting]]*D15/360)*PI()*(C15+G15/2*Tabel1[[#This Row],[Richting]])</f>
        <v>204.20352248333654</v>
      </c>
      <c r="O15" s="5">
        <f>(Tabel1[[#This Row],[Richting]]*D15/360)*PI()*(C15-G15/2*Tabel1[[#This Row],[Richting]])</f>
        <v>141.37166941154069</v>
      </c>
      <c r="P15" s="5">
        <f>Tabel1[[#This Row],[Dl]]/Tabel1[[#This Row],[WielOmtrek]]</f>
        <v>2.5999999999999996</v>
      </c>
      <c r="Q15" s="5">
        <f>Tabel1[[#This Row],[Dr]]/Tabel1[[#This Row],[WielOmtrek]]</f>
        <v>1.8</v>
      </c>
      <c r="R15" s="5">
        <f>Tabel1[[#This Row],[omwL]]/Tabel1[[#This Row],[Vl]]</f>
        <v>8.357142857142856E-2</v>
      </c>
      <c r="S15" s="5">
        <f>Tabel1[[#This Row],[omwR]]/Tabel1[[#This Row],[Vr]]</f>
        <v>8.357142857142856E-2</v>
      </c>
      <c r="T15" s="3">
        <f t="shared" si="1"/>
        <v>172.78759594743863</v>
      </c>
      <c r="U15" s="3">
        <f t="shared" si="8"/>
        <v>172.7875959474386</v>
      </c>
    </row>
    <row r="16" spans="2:21" x14ac:dyDescent="0.25">
      <c r="B16">
        <f t="shared" si="3"/>
        <v>1</v>
      </c>
      <c r="C16">
        <v>120</v>
      </c>
      <c r="D16">
        <v>180</v>
      </c>
      <c r="E16">
        <v>25</v>
      </c>
      <c r="F16" s="5">
        <f t="shared" si="6"/>
        <v>78.539816339744831</v>
      </c>
      <c r="G16" s="5">
        <v>40</v>
      </c>
      <c r="H16" s="5">
        <f t="shared" si="7"/>
        <v>188.49555921538757</v>
      </c>
      <c r="I16" s="5">
        <v>16</v>
      </c>
      <c r="J16" s="5">
        <f>Tabel1[[#This Row],[snelheid (rpm) V]]*Tabel1[[#This Row],[WielOmtrek]]*60/10000</f>
        <v>7.5398223686155035</v>
      </c>
      <c r="K16" s="5">
        <f>Tabel1[[#This Row],[Dl]]/Tabel1[[#This Row],[Dr]]</f>
        <v>1.4</v>
      </c>
      <c r="L16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30.4</v>
      </c>
      <c r="M16" s="5">
        <f>IF(O16=0,0,IF(Tabel1[[#This Row],[Dl]]=0,Tabel1[[#This Row],[snelheid (rpm) V]]*B15,Tabel1[[#This Row],[Vl]]/Tabel1[[#This Row],[verhouding]]))</f>
        <v>21.714285714285715</v>
      </c>
      <c r="N16" s="5">
        <f>(Tabel1[[#This Row],[Richting]]*D16/360)*PI()*(C16+G16/2*Tabel1[[#This Row],[Richting]])</f>
        <v>219.91148575128551</v>
      </c>
      <c r="O16" s="5">
        <f>(Tabel1[[#This Row],[Richting]]*D16/360)*PI()*(C16-G16/2*Tabel1[[#This Row],[Richting]])</f>
        <v>157.07963267948966</v>
      </c>
      <c r="P16" s="5">
        <f>Tabel1[[#This Row],[Dl]]/Tabel1[[#This Row],[WielOmtrek]]</f>
        <v>2.8</v>
      </c>
      <c r="Q16" s="5">
        <f>Tabel1[[#This Row],[Dr]]/Tabel1[[#This Row],[WielOmtrek]]</f>
        <v>2</v>
      </c>
      <c r="R16" s="5">
        <f>Tabel1[[#This Row],[omwL]]/Tabel1[[#This Row],[Vl]]</f>
        <v>9.2105263157894732E-2</v>
      </c>
      <c r="S16" s="5">
        <f>Tabel1[[#This Row],[omwR]]/Tabel1[[#This Row],[Vr]]</f>
        <v>9.2105263157894732E-2</v>
      </c>
      <c r="T16" s="3">
        <f t="shared" si="1"/>
        <v>188.49555921538757</v>
      </c>
      <c r="U16" s="3">
        <f t="shared" si="8"/>
        <v>188.49555921538757</v>
      </c>
    </row>
    <row r="17" spans="2:21" x14ac:dyDescent="0.25">
      <c r="B17">
        <f t="shared" si="3"/>
        <v>1</v>
      </c>
      <c r="C17">
        <v>130</v>
      </c>
      <c r="D17">
        <v>180</v>
      </c>
      <c r="E17">
        <v>25</v>
      </c>
      <c r="F17" s="5">
        <f t="shared" si="6"/>
        <v>78.539816339744831</v>
      </c>
      <c r="G17" s="5">
        <v>40</v>
      </c>
      <c r="H17" s="5">
        <f t="shared" si="7"/>
        <v>204.20352248333654</v>
      </c>
      <c r="I17" s="5">
        <v>16</v>
      </c>
      <c r="J17" s="5">
        <f>Tabel1[[#This Row],[snelheid (rpm) V]]*Tabel1[[#This Row],[WielOmtrek]]*60/10000</f>
        <v>7.5398223686155035</v>
      </c>
      <c r="K17" s="5">
        <f>Tabel1[[#This Row],[Dl]]/Tabel1[[#This Row],[Dr]]</f>
        <v>1.3636363636363635</v>
      </c>
      <c r="L17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29.818181818181817</v>
      </c>
      <c r="M17" s="5">
        <f>IF(O17=0,0,IF(Tabel1[[#This Row],[Dl]]=0,Tabel1[[#This Row],[snelheid (rpm) V]]*B16,Tabel1[[#This Row],[Vl]]/Tabel1[[#This Row],[verhouding]]))</f>
        <v>21.866666666666667</v>
      </c>
      <c r="N17" s="5">
        <f>(Tabel1[[#This Row],[Richting]]*D17/360)*PI()*(C17+G17/2*Tabel1[[#This Row],[Richting]])</f>
        <v>235.61944901923448</v>
      </c>
      <c r="O17" s="5">
        <f>(Tabel1[[#This Row],[Richting]]*D17/360)*PI()*(C17-G17/2*Tabel1[[#This Row],[Richting]])</f>
        <v>172.78759594743863</v>
      </c>
      <c r="P17" s="5">
        <f>Tabel1[[#This Row],[Dl]]/Tabel1[[#This Row],[WielOmtrek]]</f>
        <v>3</v>
      </c>
      <c r="Q17" s="5">
        <f>Tabel1[[#This Row],[Dr]]/Tabel1[[#This Row],[WielOmtrek]]</f>
        <v>2.2000000000000002</v>
      </c>
      <c r="R17" s="5">
        <f>Tabel1[[#This Row],[omwL]]/Tabel1[[#This Row],[Vl]]</f>
        <v>0.10060975609756098</v>
      </c>
      <c r="S17" s="5">
        <f>Tabel1[[#This Row],[omwR]]/Tabel1[[#This Row],[Vr]]</f>
        <v>0.10060975609756098</v>
      </c>
      <c r="T17" s="3">
        <f t="shared" si="1"/>
        <v>204.20352248333654</v>
      </c>
      <c r="U17" s="3">
        <f t="shared" si="8"/>
        <v>204.20352248333654</v>
      </c>
    </row>
    <row r="18" spans="2:21" x14ac:dyDescent="0.25">
      <c r="B18">
        <f t="shared" si="3"/>
        <v>1</v>
      </c>
      <c r="C18">
        <v>140</v>
      </c>
      <c r="D18">
        <v>180</v>
      </c>
      <c r="E18">
        <v>25</v>
      </c>
      <c r="F18" s="5">
        <f t="shared" si="6"/>
        <v>78.539816339744831</v>
      </c>
      <c r="G18" s="5">
        <v>40</v>
      </c>
      <c r="H18" s="5">
        <f t="shared" si="7"/>
        <v>219.91148575128551</v>
      </c>
      <c r="I18" s="5">
        <v>16</v>
      </c>
      <c r="J18" s="5">
        <f>Tabel1[[#This Row],[snelheid (rpm) V]]*Tabel1[[#This Row],[WielOmtrek]]*60/10000</f>
        <v>7.5398223686155035</v>
      </c>
      <c r="K18" s="5">
        <f>Tabel1[[#This Row],[Dl]]/Tabel1[[#This Row],[Dr]]</f>
        <v>1.3333333333333335</v>
      </c>
      <c r="L18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29.333333333333336</v>
      </c>
      <c r="M18" s="5">
        <f>IF(O18=0,0,IF(Tabel1[[#This Row],[Dl]]=0,Tabel1[[#This Row],[snelheid (rpm) V]]*B17,Tabel1[[#This Row],[Vl]]/Tabel1[[#This Row],[verhouding]]))</f>
        <v>22</v>
      </c>
      <c r="N18" s="5">
        <f>(Tabel1[[#This Row],[Richting]]*D18/360)*PI()*(C18+G18/2*Tabel1[[#This Row],[Richting]])</f>
        <v>251.32741228718345</v>
      </c>
      <c r="O18" s="5">
        <f>(Tabel1[[#This Row],[Richting]]*D18/360)*PI()*(C18-G18/2*Tabel1[[#This Row],[Richting]])</f>
        <v>188.49555921538757</v>
      </c>
      <c r="P18" s="5">
        <f>Tabel1[[#This Row],[Dl]]/Tabel1[[#This Row],[WielOmtrek]]</f>
        <v>3.1999999999999997</v>
      </c>
      <c r="Q18" s="5">
        <f>Tabel1[[#This Row],[Dr]]/Tabel1[[#This Row],[WielOmtrek]]</f>
        <v>2.4</v>
      </c>
      <c r="R18" s="5">
        <f>Tabel1[[#This Row],[omwL]]/Tabel1[[#This Row],[Vl]]</f>
        <v>0.10909090909090907</v>
      </c>
      <c r="S18" s="5">
        <f>Tabel1[[#This Row],[omwR]]/Tabel1[[#This Row],[Vr]]</f>
        <v>0.10909090909090909</v>
      </c>
      <c r="T18" s="3">
        <f t="shared" si="1"/>
        <v>219.91148575128551</v>
      </c>
      <c r="U18" s="3">
        <f t="shared" si="8"/>
        <v>219.91148575128551</v>
      </c>
    </row>
    <row r="19" spans="2:21" x14ac:dyDescent="0.25">
      <c r="B19">
        <f t="shared" si="3"/>
        <v>1</v>
      </c>
      <c r="C19">
        <v>150</v>
      </c>
      <c r="D19">
        <v>180</v>
      </c>
      <c r="E19">
        <v>25</v>
      </c>
      <c r="F19" s="5">
        <f t="shared" si="6"/>
        <v>78.539816339744831</v>
      </c>
      <c r="G19" s="5">
        <v>40</v>
      </c>
      <c r="H19" s="5">
        <f t="shared" si="7"/>
        <v>235.61944901923448</v>
      </c>
      <c r="I19" s="5">
        <v>16</v>
      </c>
      <c r="J19" s="5">
        <f>Tabel1[[#This Row],[snelheid (rpm) V]]*Tabel1[[#This Row],[WielOmtrek]]*60/10000</f>
        <v>7.5398223686155035</v>
      </c>
      <c r="K19" s="5">
        <f>Tabel1[[#This Row],[Dl]]/Tabel1[[#This Row],[Dr]]</f>
        <v>1.3076923076923077</v>
      </c>
      <c r="L19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28.923076923076923</v>
      </c>
      <c r="M19" s="5">
        <f>IF(O19=0,0,IF(Tabel1[[#This Row],[Dl]]=0,Tabel1[[#This Row],[snelheid (rpm) V]]*B18,Tabel1[[#This Row],[Vl]]/Tabel1[[#This Row],[verhouding]]))</f>
        <v>22.117647058823529</v>
      </c>
      <c r="N19" s="5">
        <f>(Tabel1[[#This Row],[Richting]]*D19/360)*PI()*(C19+G19/2*Tabel1[[#This Row],[Richting]])</f>
        <v>267.03537555513242</v>
      </c>
      <c r="O19" s="5">
        <f>(Tabel1[[#This Row],[Richting]]*D19/360)*PI()*(C19-G19/2*Tabel1[[#This Row],[Richting]])</f>
        <v>204.20352248333654</v>
      </c>
      <c r="P19" s="5">
        <f>Tabel1[[#This Row],[Dl]]/Tabel1[[#This Row],[WielOmtrek]]</f>
        <v>3.4</v>
      </c>
      <c r="Q19" s="5">
        <f>Tabel1[[#This Row],[Dr]]/Tabel1[[#This Row],[WielOmtrek]]</f>
        <v>2.5999999999999996</v>
      </c>
      <c r="R19" s="5">
        <f>Tabel1[[#This Row],[omwL]]/Tabel1[[#This Row],[Vl]]</f>
        <v>0.11755319148936169</v>
      </c>
      <c r="S19" s="5">
        <f>Tabel1[[#This Row],[omwR]]/Tabel1[[#This Row],[Vr]]</f>
        <v>0.11755319148936169</v>
      </c>
      <c r="T19" s="3">
        <f t="shared" si="1"/>
        <v>235.61944901923448</v>
      </c>
      <c r="U19" s="3">
        <f t="shared" si="8"/>
        <v>235.61944901923448</v>
      </c>
    </row>
    <row r="20" spans="2:21" x14ac:dyDescent="0.25">
      <c r="B20">
        <f t="shared" si="3"/>
        <v>1</v>
      </c>
      <c r="C20">
        <v>160</v>
      </c>
      <c r="D20">
        <v>180</v>
      </c>
      <c r="E20">
        <v>25</v>
      </c>
      <c r="F20" s="5">
        <f t="shared" si="6"/>
        <v>78.539816339744831</v>
      </c>
      <c r="G20" s="5">
        <v>40</v>
      </c>
      <c r="H20" s="5">
        <f t="shared" si="7"/>
        <v>251.32741228718345</v>
      </c>
      <c r="I20" s="5">
        <v>16</v>
      </c>
      <c r="J20" s="5">
        <f>Tabel1[[#This Row],[snelheid (rpm) V]]*Tabel1[[#This Row],[WielOmtrek]]*60/10000</f>
        <v>7.5398223686155035</v>
      </c>
      <c r="K20" s="5">
        <f>Tabel1[[#This Row],[Dl]]/Tabel1[[#This Row],[Dr]]</f>
        <v>1.2857142857142858</v>
      </c>
      <c r="L20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28.571428571428573</v>
      </c>
      <c r="M20" s="5">
        <f>IF(O20=0,0,IF(Tabel1[[#This Row],[Dl]]=0,Tabel1[[#This Row],[snelheid (rpm) V]]*B19,Tabel1[[#This Row],[Vl]]/Tabel1[[#This Row],[verhouding]]))</f>
        <v>22.222222222222221</v>
      </c>
      <c r="N20" s="5">
        <f>(Tabel1[[#This Row],[Richting]]*D20/360)*PI()*(C20+G20/2*Tabel1[[#This Row],[Richting]])</f>
        <v>282.74333882308139</v>
      </c>
      <c r="O20" s="5">
        <f>(Tabel1[[#This Row],[Richting]]*D20/360)*PI()*(C20-G20/2*Tabel1[[#This Row],[Richting]])</f>
        <v>219.91148575128551</v>
      </c>
      <c r="P20" s="5">
        <f>Tabel1[[#This Row],[Dl]]/Tabel1[[#This Row],[WielOmtrek]]</f>
        <v>3.6</v>
      </c>
      <c r="Q20" s="5">
        <f>Tabel1[[#This Row],[Dr]]/Tabel1[[#This Row],[WielOmtrek]]</f>
        <v>2.8</v>
      </c>
      <c r="R20" s="5">
        <f>Tabel1[[#This Row],[omwL]]/Tabel1[[#This Row],[Vl]]</f>
        <v>0.126</v>
      </c>
      <c r="S20" s="5">
        <f>Tabel1[[#This Row],[omwR]]/Tabel1[[#This Row],[Vr]]</f>
        <v>0.126</v>
      </c>
      <c r="T20" s="3">
        <f t="shared" si="1"/>
        <v>251.32741228718345</v>
      </c>
      <c r="U20" s="3">
        <f t="shared" si="8"/>
        <v>251.32741228718345</v>
      </c>
    </row>
    <row r="21" spans="2:21" x14ac:dyDescent="0.25">
      <c r="B21">
        <f t="shared" si="3"/>
        <v>1</v>
      </c>
      <c r="C21">
        <v>170</v>
      </c>
      <c r="D21">
        <v>180</v>
      </c>
      <c r="E21">
        <v>25</v>
      </c>
      <c r="F21" s="5">
        <f t="shared" si="6"/>
        <v>78.539816339744831</v>
      </c>
      <c r="G21" s="5">
        <v>40</v>
      </c>
      <c r="H21" s="5">
        <f t="shared" si="7"/>
        <v>267.03537555513242</v>
      </c>
      <c r="I21" s="5">
        <v>16</v>
      </c>
      <c r="J21" s="5">
        <f>Tabel1[[#This Row],[snelheid (rpm) V]]*Tabel1[[#This Row],[WielOmtrek]]*60/10000</f>
        <v>7.5398223686155035</v>
      </c>
      <c r="K21" s="5">
        <f>Tabel1[[#This Row],[Dl]]/Tabel1[[#This Row],[Dr]]</f>
        <v>1.2666666666666668</v>
      </c>
      <c r="L21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28.266666666666669</v>
      </c>
      <c r="M21" s="5">
        <f>IF(O21=0,0,IF(Tabel1[[#This Row],[Dl]]=0,Tabel1[[#This Row],[snelheid (rpm) V]]*B20,Tabel1[[#This Row],[Vl]]/Tabel1[[#This Row],[verhouding]]))</f>
        <v>22.315789473684209</v>
      </c>
      <c r="N21" s="5">
        <f>(Tabel1[[#This Row],[Richting]]*D21/360)*PI()*(C21+G21/2*Tabel1[[#This Row],[Richting]])</f>
        <v>298.45130209103036</v>
      </c>
      <c r="O21" s="5">
        <f>(Tabel1[[#This Row],[Richting]]*D21/360)*PI()*(C21-G21/2*Tabel1[[#This Row],[Richting]])</f>
        <v>235.61944901923448</v>
      </c>
      <c r="P21" s="5">
        <f>Tabel1[[#This Row],[Dl]]/Tabel1[[#This Row],[WielOmtrek]]</f>
        <v>3.8</v>
      </c>
      <c r="Q21" s="5">
        <f>Tabel1[[#This Row],[Dr]]/Tabel1[[#This Row],[WielOmtrek]]</f>
        <v>3</v>
      </c>
      <c r="R21" s="5">
        <f>Tabel1[[#This Row],[omwL]]/Tabel1[[#This Row],[Vl]]</f>
        <v>0.13443396226415091</v>
      </c>
      <c r="S21" s="5">
        <f>Tabel1[[#This Row],[omwR]]/Tabel1[[#This Row],[Vr]]</f>
        <v>0.13443396226415094</v>
      </c>
      <c r="T21" s="3">
        <f t="shared" si="1"/>
        <v>267.03537555513242</v>
      </c>
      <c r="U21" s="3">
        <f t="shared" si="8"/>
        <v>267.03537555513242</v>
      </c>
    </row>
    <row r="22" spans="2:21" x14ac:dyDescent="0.25">
      <c r="B22">
        <f t="shared" si="3"/>
        <v>1</v>
      </c>
      <c r="C22">
        <v>180</v>
      </c>
      <c r="D22">
        <v>180</v>
      </c>
      <c r="E22">
        <v>25</v>
      </c>
      <c r="F22" s="5">
        <f t="shared" si="6"/>
        <v>78.539816339744831</v>
      </c>
      <c r="G22" s="5">
        <v>40</v>
      </c>
      <c r="H22" s="5">
        <f t="shared" si="7"/>
        <v>282.74333882308139</v>
      </c>
      <c r="I22" s="5">
        <v>16</v>
      </c>
      <c r="J22" s="5">
        <f>Tabel1[[#This Row],[snelheid (rpm) V]]*Tabel1[[#This Row],[WielOmtrek]]*60/10000</f>
        <v>7.5398223686155035</v>
      </c>
      <c r="K22" s="5">
        <f>Tabel1[[#This Row],[Dl]]/Tabel1[[#This Row],[Dr]]</f>
        <v>1.25</v>
      </c>
      <c r="L22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28</v>
      </c>
      <c r="M22" s="5">
        <f>IF(O22=0,0,IF(Tabel1[[#This Row],[Dl]]=0,Tabel1[[#This Row],[snelheid (rpm) V]]*B21,Tabel1[[#This Row],[Vl]]/Tabel1[[#This Row],[verhouding]]))</f>
        <v>22.4</v>
      </c>
      <c r="N22" s="5">
        <f>(Tabel1[[#This Row],[Richting]]*D22/360)*PI()*(C22+G22/2*Tabel1[[#This Row],[Richting]])</f>
        <v>314.15926535897933</v>
      </c>
      <c r="O22" s="5">
        <f>(Tabel1[[#This Row],[Richting]]*D22/360)*PI()*(C22-G22/2*Tabel1[[#This Row],[Richting]])</f>
        <v>251.32741228718345</v>
      </c>
      <c r="P22" s="5">
        <f>Tabel1[[#This Row],[Dl]]/Tabel1[[#This Row],[WielOmtrek]]</f>
        <v>4</v>
      </c>
      <c r="Q22" s="5">
        <f>Tabel1[[#This Row],[Dr]]/Tabel1[[#This Row],[WielOmtrek]]</f>
        <v>3.1999999999999997</v>
      </c>
      <c r="R22" s="5">
        <f>Tabel1[[#This Row],[omwL]]/Tabel1[[#This Row],[Vl]]</f>
        <v>0.14285714285714285</v>
      </c>
      <c r="S22" s="5">
        <f>Tabel1[[#This Row],[omwR]]/Tabel1[[#This Row],[Vr]]</f>
        <v>0.14285714285714285</v>
      </c>
      <c r="T22" s="3">
        <f t="shared" si="1"/>
        <v>282.74333882308139</v>
      </c>
      <c r="U22" s="3">
        <f t="shared" si="8"/>
        <v>282.74333882308139</v>
      </c>
    </row>
    <row r="23" spans="2:21" x14ac:dyDescent="0.25">
      <c r="B23">
        <f t="shared" si="3"/>
        <v>1</v>
      </c>
      <c r="C23">
        <v>190</v>
      </c>
      <c r="D23">
        <v>180</v>
      </c>
      <c r="E23">
        <v>25</v>
      </c>
      <c r="F23" s="5">
        <f t="shared" si="6"/>
        <v>78.539816339744831</v>
      </c>
      <c r="G23" s="5">
        <v>40</v>
      </c>
      <c r="H23" s="5">
        <f t="shared" si="7"/>
        <v>298.45130209103036</v>
      </c>
      <c r="I23" s="5">
        <v>16</v>
      </c>
      <c r="J23" s="5">
        <f>Tabel1[[#This Row],[snelheid (rpm) V]]*Tabel1[[#This Row],[WielOmtrek]]*60/10000</f>
        <v>7.5398223686155035</v>
      </c>
      <c r="K23" s="5">
        <f>Tabel1[[#This Row],[Dl]]/Tabel1[[#This Row],[Dr]]</f>
        <v>1.2352941176470589</v>
      </c>
      <c r="L23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27.764705882352942</v>
      </c>
      <c r="M23" s="5">
        <f>IF(O23=0,0,IF(Tabel1[[#This Row],[Dl]]=0,Tabel1[[#This Row],[snelheid (rpm) V]]*B22,Tabel1[[#This Row],[Vl]]/Tabel1[[#This Row],[verhouding]]))</f>
        <v>22.476190476190474</v>
      </c>
      <c r="N23" s="5">
        <f>(Tabel1[[#This Row],[Richting]]*D23/360)*PI()*(C23+G23/2*Tabel1[[#This Row],[Richting]])</f>
        <v>329.86722862692829</v>
      </c>
      <c r="O23" s="5">
        <f>(Tabel1[[#This Row],[Richting]]*D23/360)*PI()*(C23-G23/2*Tabel1[[#This Row],[Richting]])</f>
        <v>267.03537555513242</v>
      </c>
      <c r="P23" s="5">
        <f>Tabel1[[#This Row],[Dl]]/Tabel1[[#This Row],[WielOmtrek]]</f>
        <v>4.2</v>
      </c>
      <c r="Q23" s="5">
        <f>Tabel1[[#This Row],[Dr]]/Tabel1[[#This Row],[WielOmtrek]]</f>
        <v>3.4</v>
      </c>
      <c r="R23" s="5">
        <f>Tabel1[[#This Row],[omwL]]/Tabel1[[#This Row],[Vl]]</f>
        <v>0.15127118644067797</v>
      </c>
      <c r="S23" s="5">
        <f>Tabel1[[#This Row],[omwR]]/Tabel1[[#This Row],[Vr]]</f>
        <v>0.15127118644067797</v>
      </c>
      <c r="T23" s="3">
        <f t="shared" si="1"/>
        <v>298.45130209103036</v>
      </c>
      <c r="U23" s="3">
        <f t="shared" si="8"/>
        <v>298.45130209103036</v>
      </c>
    </row>
    <row r="24" spans="2:21" x14ac:dyDescent="0.25">
      <c r="B24">
        <f t="shared" si="3"/>
        <v>1</v>
      </c>
      <c r="C24">
        <v>200</v>
      </c>
      <c r="D24">
        <v>180</v>
      </c>
      <c r="E24">
        <v>25</v>
      </c>
      <c r="F24" s="5">
        <f t="shared" si="6"/>
        <v>78.539816339744831</v>
      </c>
      <c r="G24" s="5">
        <v>40</v>
      </c>
      <c r="H24" s="5">
        <f t="shared" si="7"/>
        <v>314.15926535897933</v>
      </c>
      <c r="I24" s="5">
        <v>16</v>
      </c>
      <c r="J24" s="5">
        <f>Tabel1[[#This Row],[snelheid (rpm) V]]*Tabel1[[#This Row],[WielOmtrek]]*60/10000</f>
        <v>7.5398223686155035</v>
      </c>
      <c r="K24" s="5">
        <f>Tabel1[[#This Row],[Dl]]/Tabel1[[#This Row],[Dr]]</f>
        <v>1.2222222222222223</v>
      </c>
      <c r="L24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27.555555555555557</v>
      </c>
      <c r="M24" s="5">
        <f>IF(O24=0,0,IF(Tabel1[[#This Row],[Dl]]=0,Tabel1[[#This Row],[snelheid (rpm) V]]*B23,Tabel1[[#This Row],[Vl]]/Tabel1[[#This Row],[verhouding]]))</f>
        <v>22.545454545454543</v>
      </c>
      <c r="N24" s="5">
        <f>(Tabel1[[#This Row],[Richting]]*D24/360)*PI()*(C24+G24/2*Tabel1[[#This Row],[Richting]])</f>
        <v>345.57519189487726</v>
      </c>
      <c r="O24" s="5">
        <f>(Tabel1[[#This Row],[Richting]]*D24/360)*PI()*(C24-G24/2*Tabel1[[#This Row],[Richting]])</f>
        <v>282.74333882308139</v>
      </c>
      <c r="P24" s="5">
        <f>Tabel1[[#This Row],[Dl]]/Tabel1[[#This Row],[WielOmtrek]]</f>
        <v>4.4000000000000004</v>
      </c>
      <c r="Q24" s="5">
        <f>Tabel1[[#This Row],[Dr]]/Tabel1[[#This Row],[WielOmtrek]]</f>
        <v>3.6</v>
      </c>
      <c r="R24" s="5">
        <f>Tabel1[[#This Row],[omwL]]/Tabel1[[#This Row],[Vl]]</f>
        <v>0.1596774193548387</v>
      </c>
      <c r="S24" s="5">
        <f>Tabel1[[#This Row],[omwR]]/Tabel1[[#This Row],[Vr]]</f>
        <v>0.15967741935483873</v>
      </c>
      <c r="T24" s="3">
        <f t="shared" si="1"/>
        <v>314.15926535897933</v>
      </c>
      <c r="U24" s="3">
        <f t="shared" si="8"/>
        <v>314.15926535897933</v>
      </c>
    </row>
    <row r="25" spans="2:21" x14ac:dyDescent="0.25">
      <c r="B25">
        <f t="shared" si="3"/>
        <v>1</v>
      </c>
      <c r="C25">
        <v>210</v>
      </c>
      <c r="D25">
        <v>180</v>
      </c>
      <c r="E25">
        <v>25</v>
      </c>
      <c r="F25" s="5">
        <f t="shared" si="6"/>
        <v>78.539816339744831</v>
      </c>
      <c r="G25" s="5">
        <v>40</v>
      </c>
      <c r="H25" s="5">
        <f t="shared" si="7"/>
        <v>329.86722862692829</v>
      </c>
      <c r="I25" s="5">
        <v>16</v>
      </c>
      <c r="J25" s="5">
        <f>Tabel1[[#This Row],[snelheid (rpm) V]]*Tabel1[[#This Row],[WielOmtrek]]*60/10000</f>
        <v>7.5398223686155035</v>
      </c>
      <c r="K25" s="5">
        <f>Tabel1[[#This Row],[Dl]]/Tabel1[[#This Row],[Dr]]</f>
        <v>1.2105263157894737</v>
      </c>
      <c r="L25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27.368421052631579</v>
      </c>
      <c r="M25" s="5">
        <f>IF(O25=0,0,IF(Tabel1[[#This Row],[Dl]]=0,Tabel1[[#This Row],[snelheid (rpm) V]]*B24,Tabel1[[#This Row],[Vl]]/Tabel1[[#This Row],[verhouding]]))</f>
        <v>22.608695652173914</v>
      </c>
      <c r="N25" s="5">
        <f>(Tabel1[[#This Row],[Richting]]*D25/360)*PI()*(C25+G25/2*Tabel1[[#This Row],[Richting]])</f>
        <v>361.28315516282623</v>
      </c>
      <c r="O25" s="5">
        <f>(Tabel1[[#This Row],[Richting]]*D25/360)*PI()*(C25-G25/2*Tabel1[[#This Row],[Richting]])</f>
        <v>298.45130209103036</v>
      </c>
      <c r="P25" s="5">
        <f>Tabel1[[#This Row],[Dl]]/Tabel1[[#This Row],[WielOmtrek]]</f>
        <v>4.6000000000000005</v>
      </c>
      <c r="Q25" s="5">
        <f>Tabel1[[#This Row],[Dr]]/Tabel1[[#This Row],[WielOmtrek]]</f>
        <v>3.8</v>
      </c>
      <c r="R25" s="5">
        <f>Tabel1[[#This Row],[omwL]]/Tabel1[[#This Row],[Vl]]</f>
        <v>0.1680769230769231</v>
      </c>
      <c r="S25" s="5">
        <f>Tabel1[[#This Row],[omwR]]/Tabel1[[#This Row],[Vr]]</f>
        <v>0.16807692307692307</v>
      </c>
      <c r="T25" s="3">
        <f t="shared" si="1"/>
        <v>329.86722862692829</v>
      </c>
      <c r="U25" s="3">
        <f t="shared" si="8"/>
        <v>329.86722862692829</v>
      </c>
    </row>
    <row r="26" spans="2:21" x14ac:dyDescent="0.25">
      <c r="B26">
        <f t="shared" si="3"/>
        <v>1</v>
      </c>
      <c r="C26">
        <v>220</v>
      </c>
      <c r="D26">
        <v>180</v>
      </c>
      <c r="E26">
        <v>25</v>
      </c>
      <c r="F26" s="5">
        <f t="shared" si="6"/>
        <v>78.539816339744831</v>
      </c>
      <c r="G26" s="5">
        <v>40</v>
      </c>
      <c r="H26" s="5">
        <f t="shared" si="7"/>
        <v>345.57519189487726</v>
      </c>
      <c r="I26" s="5">
        <v>16</v>
      </c>
      <c r="J26" s="5">
        <f>Tabel1[[#This Row],[snelheid (rpm) V]]*Tabel1[[#This Row],[WielOmtrek]]*60/10000</f>
        <v>7.5398223686155035</v>
      </c>
      <c r="K26" s="5">
        <f>Tabel1[[#This Row],[Dl]]/Tabel1[[#This Row],[Dr]]</f>
        <v>1.2</v>
      </c>
      <c r="L26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27.2</v>
      </c>
      <c r="M26" s="5">
        <f>IF(O26=0,0,IF(Tabel1[[#This Row],[Dl]]=0,Tabel1[[#This Row],[snelheid (rpm) V]]*B25,Tabel1[[#This Row],[Vl]]/Tabel1[[#This Row],[verhouding]]))</f>
        <v>22.666666666666668</v>
      </c>
      <c r="N26" s="5">
        <f>(Tabel1[[#This Row],[Richting]]*D26/360)*PI()*(C26+G26/2*Tabel1[[#This Row],[Richting]])</f>
        <v>376.99111843077515</v>
      </c>
      <c r="O26" s="5">
        <f>(Tabel1[[#This Row],[Richting]]*D26/360)*PI()*(C26-G26/2*Tabel1[[#This Row],[Richting]])</f>
        <v>314.15926535897933</v>
      </c>
      <c r="P26" s="5">
        <f>Tabel1[[#This Row],[Dl]]/Tabel1[[#This Row],[WielOmtrek]]</f>
        <v>4.8</v>
      </c>
      <c r="Q26" s="5">
        <f>Tabel1[[#This Row],[Dr]]/Tabel1[[#This Row],[WielOmtrek]]</f>
        <v>4</v>
      </c>
      <c r="R26" s="5">
        <f>Tabel1[[#This Row],[omwL]]/Tabel1[[#This Row],[Vl]]</f>
        <v>0.17647058823529413</v>
      </c>
      <c r="S26" s="5">
        <f>Tabel1[[#This Row],[omwR]]/Tabel1[[#This Row],[Vr]]</f>
        <v>0.1764705882352941</v>
      </c>
      <c r="T26" s="3">
        <f t="shared" si="1"/>
        <v>345.57519189487726</v>
      </c>
      <c r="U26" s="3">
        <f t="shared" si="8"/>
        <v>345.57519189487721</v>
      </c>
    </row>
    <row r="27" spans="2:21" x14ac:dyDescent="0.25">
      <c r="B27">
        <f t="shared" si="3"/>
        <v>1</v>
      </c>
      <c r="C27">
        <v>230</v>
      </c>
      <c r="D27">
        <v>180</v>
      </c>
      <c r="E27">
        <v>22.5</v>
      </c>
      <c r="F27" s="5">
        <f t="shared" si="6"/>
        <v>70.685834705770347</v>
      </c>
      <c r="G27" s="5">
        <v>33.4</v>
      </c>
      <c r="H27" s="5">
        <f t="shared" si="7"/>
        <v>361.28315516282623</v>
      </c>
      <c r="I27" s="5">
        <v>16</v>
      </c>
      <c r="J27" s="5">
        <f>Tabel1[[#This Row],[snelheid (rpm) V]]*Tabel1[[#This Row],[WielOmtrek]]*60/10000</f>
        <v>6.7858401317539538</v>
      </c>
      <c r="K27" s="5">
        <f>Tabel1[[#This Row],[Dl]]/Tabel1[[#This Row],[Dr]]</f>
        <v>1.1565869667135489</v>
      </c>
      <c r="L27" s="5">
        <f>IF(Tabel1[[#This Row],[Dl]]=0,0,IF(Tabel1[[#This Row],[Dr]]=0,Tabel1[[#This Row],[snelheid (rpm) V]]*Tabel1[[#This Row],[Richting]],Tabel1[[#This Row],[snelheid (rpm) V]]*Tabel1[[#This Row],[verhouding]]+Tabel1[[#This Row],[snelheid (rpm) V]]/2))</f>
        <v>26.505391467416782</v>
      </c>
      <c r="M27" s="5">
        <f>IF(O27=0,0,IF(Tabel1[[#This Row],[Dl]]=0,Tabel1[[#This Row],[snelheid (rpm) V]]*B26,Tabel1[[#This Row],[Vl]]/Tabel1[[#This Row],[verhouding]]))</f>
        <v>22.916903121199837</v>
      </c>
      <c r="N27" s="5">
        <f>(Tabel1[[#This Row],[Richting]]*D27/360)*PI()*(C27+G27/2*Tabel1[[#This Row],[Richting]])</f>
        <v>387.51545382030099</v>
      </c>
      <c r="O27" s="5">
        <f>(Tabel1[[#This Row],[Richting]]*D27/360)*PI()*(C27-G27/2*Tabel1[[#This Row],[Richting]])</f>
        <v>335.05085650535148</v>
      </c>
      <c r="P27" s="5">
        <f>Tabel1[[#This Row],[Dl]]/Tabel1[[#This Row],[WielOmtrek]]</f>
        <v>5.4822222222222221</v>
      </c>
      <c r="Q27" s="5">
        <f>Tabel1[[#This Row],[Dr]]/Tabel1[[#This Row],[WielOmtrek]]</f>
        <v>4.74</v>
      </c>
      <c r="R27" s="5">
        <f>Tabel1[[#This Row],[omwL]]/Tabel1[[#This Row],[Vl]]</f>
        <v>0.2068342295174756</v>
      </c>
      <c r="S27" s="5">
        <f>Tabel1[[#This Row],[omwR]]/Tabel1[[#This Row],[Vr]]</f>
        <v>0.2068342295174756</v>
      </c>
      <c r="T27" s="3">
        <f t="shared" si="1"/>
        <v>361.28315516282623</v>
      </c>
      <c r="U27" s="3">
        <f t="shared" si="8"/>
        <v>361.28315516282623</v>
      </c>
    </row>
    <row r="28" spans="2:21" x14ac:dyDescent="0.25">
      <c r="J28" s="5"/>
      <c r="N28" s="5"/>
      <c r="O28" s="5"/>
      <c r="P28" s="5"/>
      <c r="Q28" s="5"/>
      <c r="R28" s="5"/>
      <c r="S28" s="5"/>
    </row>
    <row r="29" spans="2:21" x14ac:dyDescent="0.25">
      <c r="F29">
        <f>1830/693</f>
        <v>2.6406926406926408</v>
      </c>
    </row>
    <row r="30" spans="2:21" x14ac:dyDescent="0.25">
      <c r="D30">
        <f>33/22</f>
        <v>1.5</v>
      </c>
      <c r="F30">
        <f>1300/693</f>
        <v>1.875901875901876</v>
      </c>
      <c r="H30">
        <f>L5/M5</f>
        <v>-1</v>
      </c>
      <c r="P30" t="s">
        <v>109</v>
      </c>
      <c r="R30" t="s">
        <v>110</v>
      </c>
      <c r="S30" t="s">
        <v>111</v>
      </c>
      <c r="T30" t="s">
        <v>112</v>
      </c>
    </row>
    <row r="31" spans="2:21" x14ac:dyDescent="0.25">
      <c r="B31">
        <v>1</v>
      </c>
      <c r="D31">
        <f>140/122</f>
        <v>1.1475409836065573</v>
      </c>
      <c r="M31">
        <f>PI()*100</f>
        <v>314.15926535897933</v>
      </c>
      <c r="N31">
        <f>M31/2</f>
        <v>157.07963267948966</v>
      </c>
      <c r="P31">
        <v>200</v>
      </c>
      <c r="R31">
        <v>100</v>
      </c>
      <c r="S31">
        <f>P31/R31</f>
        <v>2</v>
      </c>
      <c r="T31">
        <f>R31/P31</f>
        <v>0.5</v>
      </c>
    </row>
    <row r="32" spans="2:21" x14ac:dyDescent="0.25">
      <c r="G32" t="s">
        <v>93</v>
      </c>
      <c r="H32">
        <v>693</v>
      </c>
      <c r="I32">
        <v>-500</v>
      </c>
      <c r="J32">
        <v>1300</v>
      </c>
      <c r="K32">
        <f>ABS(I32-J32)</f>
        <v>1800</v>
      </c>
    </row>
    <row r="33" spans="4:11" x14ac:dyDescent="0.25">
      <c r="G33" t="s">
        <v>94</v>
      </c>
      <c r="H33">
        <v>10</v>
      </c>
    </row>
    <row r="34" spans="4:11" x14ac:dyDescent="0.25">
      <c r="G34" t="s">
        <v>95</v>
      </c>
      <c r="H34">
        <f>H32/H33/PI()</f>
        <v>22.058875112536693</v>
      </c>
    </row>
    <row r="39" spans="4:11" x14ac:dyDescent="0.25">
      <c r="E39" t="s">
        <v>96</v>
      </c>
      <c r="F39" t="s">
        <v>97</v>
      </c>
      <c r="G39" t="s">
        <v>98</v>
      </c>
      <c r="H39" t="s">
        <v>99</v>
      </c>
    </row>
    <row r="40" spans="4:11" x14ac:dyDescent="0.25">
      <c r="E40">
        <v>100</v>
      </c>
      <c r="F40">
        <v>0</v>
      </c>
      <c r="G40">
        <v>255</v>
      </c>
      <c r="H40">
        <v>80</v>
      </c>
      <c r="I40" t="e">
        <f>(E40-F40)*(#REF!-H40)/(G40-F40)+H40</f>
        <v>#REF!</v>
      </c>
      <c r="J40">
        <v>91</v>
      </c>
      <c r="K40">
        <v>103</v>
      </c>
    </row>
    <row r="43" spans="4:11" x14ac:dyDescent="0.25">
      <c r="D43" t="s">
        <v>104</v>
      </c>
      <c r="E43" t="s">
        <v>100</v>
      </c>
      <c r="F43" t="s">
        <v>101</v>
      </c>
      <c r="G43" t="s">
        <v>102</v>
      </c>
      <c r="H43" t="s">
        <v>103</v>
      </c>
    </row>
    <row r="44" spans="4:11" x14ac:dyDescent="0.25">
      <c r="E44">
        <v>35</v>
      </c>
      <c r="F44">
        <v>30</v>
      </c>
      <c r="G44">
        <f>E44/F44</f>
        <v>1.1666666666666667</v>
      </c>
      <c r="H44">
        <v>33</v>
      </c>
    </row>
    <row r="45" spans="4:11" x14ac:dyDescent="0.25">
      <c r="E45">
        <v>30</v>
      </c>
      <c r="F45">
        <v>-35</v>
      </c>
      <c r="G45">
        <f>E45/F45</f>
        <v>-0.8571428571428571</v>
      </c>
      <c r="H45" t="e">
        <f>#REF!*G45</f>
        <v>#REF!</v>
      </c>
    </row>
    <row r="46" spans="4:11" x14ac:dyDescent="0.25">
      <c r="D46">
        <v>33</v>
      </c>
      <c r="E46">
        <v>-35</v>
      </c>
      <c r="F46">
        <v>30</v>
      </c>
      <c r="G46">
        <f>E46/F46</f>
        <v>-1.1666666666666667</v>
      </c>
      <c r="H46">
        <f>D46*E46/ABS(E46)</f>
        <v>-33</v>
      </c>
      <c r="I46" t="e">
        <f>H46/#REF!</f>
        <v>#REF!</v>
      </c>
      <c r="K46">
        <f>-1*1</f>
        <v>-1</v>
      </c>
    </row>
    <row r="49" spans="4:7" x14ac:dyDescent="0.25">
      <c r="F49">
        <f>0/2</f>
        <v>0</v>
      </c>
    </row>
    <row r="50" spans="4:7" x14ac:dyDescent="0.25">
      <c r="D50" t="s">
        <v>105</v>
      </c>
      <c r="G50" t="s">
        <v>106</v>
      </c>
    </row>
    <row r="52" spans="4:7" x14ac:dyDescent="0.25">
      <c r="F52">
        <f>140/122</f>
        <v>1.1475409836065573</v>
      </c>
    </row>
  </sheetData>
  <mergeCells count="3">
    <mergeCell ref="L2:O2"/>
    <mergeCell ref="E2:G2"/>
    <mergeCell ref="C2:D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9"/>
  <sheetViews>
    <sheetView workbookViewId="0">
      <selection activeCell="D45" sqref="D45"/>
    </sheetView>
  </sheetViews>
  <sheetFormatPr defaultRowHeight="15" x14ac:dyDescent="0.25"/>
  <cols>
    <col min="3" max="3" width="12.42578125" customWidth="1"/>
    <col min="4" max="4" width="16" customWidth="1"/>
    <col min="13" max="13" width="14.5703125" bestFit="1" customWidth="1"/>
    <col min="14" max="14" width="16.140625" bestFit="1" customWidth="1"/>
    <col min="15" max="15" width="19.140625" bestFit="1" customWidth="1"/>
    <col min="16" max="16" width="23.7109375" bestFit="1" customWidth="1"/>
    <col min="17" max="17" width="26.5703125" bestFit="1" customWidth="1"/>
  </cols>
  <sheetData>
    <row r="3" spans="2:17" x14ac:dyDescent="0.25">
      <c r="B3" t="s">
        <v>7</v>
      </c>
    </row>
    <row r="4" spans="2:17" x14ac:dyDescent="0.25">
      <c r="B4" t="s">
        <v>10</v>
      </c>
      <c r="K4">
        <v>180</v>
      </c>
      <c r="M4" t="s">
        <v>0</v>
      </c>
      <c r="N4" t="s">
        <v>1</v>
      </c>
      <c r="O4" t="s">
        <v>2</v>
      </c>
      <c r="P4" t="s">
        <v>4</v>
      </c>
      <c r="Q4" t="s">
        <v>5</v>
      </c>
    </row>
    <row r="5" spans="2:17" x14ac:dyDescent="0.25">
      <c r="B5" t="s">
        <v>6</v>
      </c>
      <c r="D5" t="s">
        <v>8</v>
      </c>
      <c r="E5" t="s">
        <v>11</v>
      </c>
      <c r="O5" t="s">
        <v>3</v>
      </c>
    </row>
    <row r="6" spans="2:17" x14ac:dyDescent="0.25">
      <c r="B6" t="s">
        <v>12</v>
      </c>
      <c r="D6" t="s">
        <v>8</v>
      </c>
      <c r="E6" t="s">
        <v>13</v>
      </c>
    </row>
    <row r="7" spans="2:17" x14ac:dyDescent="0.25">
      <c r="M7">
        <v>30</v>
      </c>
      <c r="N7">
        <v>10</v>
      </c>
      <c r="O7">
        <f>10*PI()</f>
        <v>31.415926535897931</v>
      </c>
      <c r="P7">
        <f>0.5*(2*M7)*PI()</f>
        <v>94.247779607693786</v>
      </c>
      <c r="Q7">
        <f>P7/O7</f>
        <v>2.9999999999999996</v>
      </c>
    </row>
    <row r="8" spans="2:17" x14ac:dyDescent="0.25">
      <c r="B8" t="s">
        <v>14</v>
      </c>
      <c r="D8" t="s">
        <v>8</v>
      </c>
      <c r="E8" t="s">
        <v>15</v>
      </c>
    </row>
    <row r="9" spans="2:17" x14ac:dyDescent="0.25">
      <c r="D9" t="s">
        <v>8</v>
      </c>
      <c r="E9" t="s">
        <v>16</v>
      </c>
    </row>
    <row r="10" spans="2:17" x14ac:dyDescent="0.25">
      <c r="D10" t="s">
        <v>8</v>
      </c>
      <c r="E10" t="s">
        <v>17</v>
      </c>
    </row>
    <row r="11" spans="2:17" x14ac:dyDescent="0.25">
      <c r="B11" t="s">
        <v>18</v>
      </c>
    </row>
    <row r="13" spans="2:17" x14ac:dyDescent="0.25">
      <c r="B13" t="s">
        <v>19</v>
      </c>
    </row>
    <row r="16" spans="2:17" x14ac:dyDescent="0.25">
      <c r="L16" t="s">
        <v>22</v>
      </c>
      <c r="M16" t="s">
        <v>20</v>
      </c>
      <c r="N16" t="s">
        <v>21</v>
      </c>
      <c r="O16" t="s">
        <v>12</v>
      </c>
      <c r="P16" t="s">
        <v>6</v>
      </c>
    </row>
    <row r="17" spans="2:15" x14ac:dyDescent="0.25">
      <c r="L17">
        <v>100</v>
      </c>
      <c r="M17">
        <v>30</v>
      </c>
      <c r="N17">
        <v>100</v>
      </c>
      <c r="O17">
        <f>L17/M17*(N17-M17/2)</f>
        <v>283.33333333333337</v>
      </c>
    </row>
    <row r="23" spans="2:15" x14ac:dyDescent="0.25">
      <c r="B23" t="s">
        <v>23</v>
      </c>
      <c r="C23" t="s">
        <v>8</v>
      </c>
      <c r="D23" t="s">
        <v>24</v>
      </c>
    </row>
    <row r="24" spans="2:15" x14ac:dyDescent="0.25">
      <c r="B24" t="s">
        <v>25</v>
      </c>
      <c r="C24" t="s">
        <v>8</v>
      </c>
      <c r="D24" t="s">
        <v>26</v>
      </c>
    </row>
    <row r="25" spans="2:15" x14ac:dyDescent="0.25">
      <c r="H25" t="s">
        <v>35</v>
      </c>
    </row>
    <row r="26" spans="2:15" x14ac:dyDescent="0.25">
      <c r="B26" t="s">
        <v>27</v>
      </c>
      <c r="C26" t="s">
        <v>8</v>
      </c>
      <c r="D26" t="s">
        <v>28</v>
      </c>
    </row>
    <row r="27" spans="2:15" ht="16.5" x14ac:dyDescent="0.25">
      <c r="B27" t="s">
        <v>29</v>
      </c>
      <c r="C27" t="s">
        <v>8</v>
      </c>
      <c r="D27" t="s">
        <v>30</v>
      </c>
      <c r="H27" s="2" t="s">
        <v>36</v>
      </c>
      <c r="I27" t="s">
        <v>37</v>
      </c>
    </row>
    <row r="28" spans="2:15" x14ac:dyDescent="0.25">
      <c r="B28" s="1" t="s">
        <v>31</v>
      </c>
      <c r="C28" t="s">
        <v>8</v>
      </c>
      <c r="D28" t="s">
        <v>32</v>
      </c>
      <c r="H28" t="s">
        <v>9</v>
      </c>
      <c r="I28" t="s">
        <v>38</v>
      </c>
    </row>
    <row r="29" spans="2:15" x14ac:dyDescent="0.25">
      <c r="B29" s="1" t="s">
        <v>33</v>
      </c>
      <c r="C29" t="s">
        <v>8</v>
      </c>
      <c r="D29" t="s">
        <v>34</v>
      </c>
    </row>
    <row r="33" spans="2:6" x14ac:dyDescent="0.25">
      <c r="B33" t="s">
        <v>29</v>
      </c>
      <c r="C33" t="s">
        <v>8</v>
      </c>
      <c r="D33" t="s">
        <v>39</v>
      </c>
      <c r="F33" t="s">
        <v>41</v>
      </c>
    </row>
    <row r="34" spans="2:6" x14ac:dyDescent="0.25">
      <c r="B34" t="s">
        <v>27</v>
      </c>
      <c r="C34" t="s">
        <v>8</v>
      </c>
      <c r="D34" t="s">
        <v>40</v>
      </c>
      <c r="F34" t="s">
        <v>42</v>
      </c>
    </row>
    <row r="35" spans="2:6" x14ac:dyDescent="0.25">
      <c r="F35" t="s">
        <v>43</v>
      </c>
    </row>
    <row r="36" spans="2:6" x14ac:dyDescent="0.25">
      <c r="B36" t="s">
        <v>50</v>
      </c>
      <c r="D36" t="s">
        <v>57</v>
      </c>
      <c r="E36" t="s">
        <v>58</v>
      </c>
    </row>
    <row r="37" spans="2:6" x14ac:dyDescent="0.25">
      <c r="B37" t="s">
        <v>47</v>
      </c>
      <c r="D37">
        <v>15</v>
      </c>
      <c r="E37">
        <v>100</v>
      </c>
    </row>
    <row r="38" spans="2:6" x14ac:dyDescent="0.25">
      <c r="B38" t="s">
        <v>45</v>
      </c>
      <c r="D38">
        <v>180</v>
      </c>
      <c r="E38">
        <v>180</v>
      </c>
    </row>
    <row r="39" spans="2:6" x14ac:dyDescent="0.25">
      <c r="B39" t="s">
        <v>54</v>
      </c>
      <c r="D39">
        <v>20</v>
      </c>
      <c r="E39">
        <v>20</v>
      </c>
    </row>
    <row r="40" spans="2:6" x14ac:dyDescent="0.25">
      <c r="B40" t="s">
        <v>55</v>
      </c>
      <c r="D40">
        <f>2*PI()*D39</f>
        <v>125.66370614359172</v>
      </c>
      <c r="E40">
        <f>2*PI()*E39</f>
        <v>125.66370614359172</v>
      </c>
    </row>
    <row r="41" spans="2:6" x14ac:dyDescent="0.25">
      <c r="B41" t="s">
        <v>46</v>
      </c>
      <c r="D41">
        <f>(D38/360)*PI()*2*D37</f>
        <v>47.123889803846893</v>
      </c>
      <c r="E41">
        <f>(E38/360)*PI()*2*E37</f>
        <v>314.15926535897933</v>
      </c>
    </row>
    <row r="42" spans="2:6" x14ac:dyDescent="0.25">
      <c r="B42" t="s">
        <v>56</v>
      </c>
      <c r="D42">
        <f>D41/D40</f>
        <v>0.37499999999999994</v>
      </c>
      <c r="E42">
        <f>E41/E40</f>
        <v>2.5</v>
      </c>
    </row>
    <row r="43" spans="2:6" x14ac:dyDescent="0.25">
      <c r="B43" t="s">
        <v>48</v>
      </c>
      <c r="D43">
        <v>50</v>
      </c>
      <c r="E43">
        <v>50</v>
      </c>
    </row>
    <row r="44" spans="2:6" x14ac:dyDescent="0.25">
      <c r="B44" t="s">
        <v>49</v>
      </c>
      <c r="D44">
        <v>33</v>
      </c>
      <c r="E44">
        <v>33</v>
      </c>
    </row>
    <row r="45" spans="2:6" x14ac:dyDescent="0.25">
      <c r="B45" t="s">
        <v>27</v>
      </c>
      <c r="C45" t="s">
        <v>51</v>
      </c>
      <c r="D45" s="4">
        <f>D44/D37*(D37+D43/2)</f>
        <v>88</v>
      </c>
      <c r="E45" s="4">
        <f>E44/E37*(E37-E43/2)</f>
        <v>24.75</v>
      </c>
    </row>
    <row r="46" spans="2:6" x14ac:dyDescent="0.25">
      <c r="B46" t="s">
        <v>29</v>
      </c>
      <c r="D46" s="4">
        <f>D44/D37*(D37-D43/2)</f>
        <v>-22</v>
      </c>
      <c r="E46" s="4">
        <f>E44/E37*(E37+E43/2)</f>
        <v>41.25</v>
      </c>
    </row>
    <row r="47" spans="2:6" x14ac:dyDescent="0.25">
      <c r="B47" t="s">
        <v>52</v>
      </c>
      <c r="D47">
        <f>(D38/360)*PI()*2*(D37+D43*0.5)</f>
        <v>125.66370614359172</v>
      </c>
      <c r="E47">
        <f>(E38/360)*PI()*2*(E37-E43*0.5)</f>
        <v>235.61944901923448</v>
      </c>
    </row>
    <row r="48" spans="2:6" x14ac:dyDescent="0.25">
      <c r="B48" t="s">
        <v>53</v>
      </c>
      <c r="D48">
        <f>(D38/360)*PI()*2*(D37-D43*0.5)</f>
        <v>-31.415926535897931</v>
      </c>
      <c r="E48">
        <f>(E38/360)*PI()*2*(E37+E43*0.5)</f>
        <v>392.69908169872411</v>
      </c>
    </row>
    <row r="49" spans="2:5" x14ac:dyDescent="0.25">
      <c r="B49" t="s">
        <v>44</v>
      </c>
      <c r="D49">
        <f>(D48+D47)/2</f>
        <v>47.123889803846893</v>
      </c>
      <c r="E49">
        <f>(E48+E47)/2</f>
        <v>314.15926535897927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B2" sqref="B2"/>
    </sheetView>
  </sheetViews>
  <sheetFormatPr defaultRowHeight="15" x14ac:dyDescent="0.25"/>
  <cols>
    <col min="2" max="2" width="12.5703125" bestFit="1" customWidth="1"/>
    <col min="3" max="3" width="16.5703125" bestFit="1" customWidth="1"/>
    <col min="5" max="5" width="16.140625" bestFit="1" customWidth="1"/>
    <col min="6" max="6" width="32.5703125" bestFit="1" customWidth="1"/>
    <col min="7" max="7" width="40.85546875" bestFit="1" customWidth="1"/>
  </cols>
  <sheetData>
    <row r="1" spans="2:9" ht="20.25" thickBot="1" x14ac:dyDescent="0.35">
      <c r="B1" s="12" t="s">
        <v>87</v>
      </c>
      <c r="C1" s="12"/>
      <c r="D1" s="12"/>
      <c r="E1" s="12"/>
      <c r="F1" s="12"/>
      <c r="G1" s="12"/>
      <c r="H1" s="12"/>
      <c r="I1" s="12"/>
    </row>
    <row r="2" spans="2:9" ht="15.75" thickTop="1" x14ac:dyDescent="0.25">
      <c r="B2" t="s">
        <v>88</v>
      </c>
      <c r="C2" t="s">
        <v>80</v>
      </c>
      <c r="D2" t="s">
        <v>81</v>
      </c>
      <c r="E2" t="s">
        <v>82</v>
      </c>
      <c r="F2" s="9" t="s">
        <v>83</v>
      </c>
      <c r="G2" s="9" t="s">
        <v>84</v>
      </c>
      <c r="H2" t="s">
        <v>85</v>
      </c>
      <c r="I2" t="s">
        <v>86</v>
      </c>
    </row>
    <row r="3" spans="2:9" x14ac:dyDescent="0.25">
      <c r="C3">
        <v>360</v>
      </c>
      <c r="D3">
        <v>135</v>
      </c>
      <c r="E3">
        <f t="shared" ref="E3:E6" si="0">D3+C3</f>
        <v>495</v>
      </c>
      <c r="F3">
        <f t="shared" ref="F3:F6" si="1">E3+2*180</f>
        <v>855</v>
      </c>
      <c r="G3">
        <f t="shared" ref="G3:G6" si="2">E3-2*180</f>
        <v>135</v>
      </c>
      <c r="H3">
        <f>IF(E3&lt;0,F3,IF(E3&gt;=2*180,G3,E3))</f>
        <v>135</v>
      </c>
      <c r="I3">
        <f>IF(H3&gt;=180,-2*180+H3,IF(H3&lt;-180,2*180+H3,H3))</f>
        <v>135</v>
      </c>
    </row>
    <row r="4" spans="2:9" x14ac:dyDescent="0.25">
      <c r="C4">
        <v>315</v>
      </c>
      <c r="D4">
        <v>135</v>
      </c>
      <c r="E4">
        <f t="shared" si="0"/>
        <v>450</v>
      </c>
      <c r="F4">
        <f t="shared" si="1"/>
        <v>810</v>
      </c>
      <c r="G4">
        <f t="shared" si="2"/>
        <v>90</v>
      </c>
      <c r="H4">
        <f t="shared" ref="H4:H15" si="3">IF(E4&lt;0,F4,IF(E4&gt;=2*180,G4,E4))</f>
        <v>90</v>
      </c>
      <c r="I4">
        <f t="shared" ref="I4:I15" si="4">IF(H4&gt;=180,-2*180+H4,IF(H4&lt;-180,2*180+H4,H4))</f>
        <v>90</v>
      </c>
    </row>
    <row r="5" spans="2:9" x14ac:dyDescent="0.25">
      <c r="C5">
        <v>270</v>
      </c>
      <c r="D5">
        <v>135</v>
      </c>
      <c r="E5">
        <f t="shared" si="0"/>
        <v>405</v>
      </c>
      <c r="F5">
        <f t="shared" si="1"/>
        <v>765</v>
      </c>
      <c r="G5">
        <f t="shared" si="2"/>
        <v>45</v>
      </c>
      <c r="H5">
        <f t="shared" si="3"/>
        <v>45</v>
      </c>
      <c r="I5">
        <f t="shared" si="4"/>
        <v>45</v>
      </c>
    </row>
    <row r="6" spans="2:9" x14ac:dyDescent="0.25">
      <c r="C6">
        <v>225</v>
      </c>
      <c r="D6">
        <v>135</v>
      </c>
      <c r="E6">
        <f t="shared" si="0"/>
        <v>360</v>
      </c>
      <c r="F6">
        <f t="shared" si="1"/>
        <v>720</v>
      </c>
      <c r="G6">
        <f t="shared" si="2"/>
        <v>0</v>
      </c>
      <c r="H6">
        <f t="shared" si="3"/>
        <v>0</v>
      </c>
      <c r="I6">
        <f t="shared" si="4"/>
        <v>0</v>
      </c>
    </row>
    <row r="7" spans="2:9" x14ac:dyDescent="0.25">
      <c r="C7">
        <v>180</v>
      </c>
      <c r="D7">
        <v>135</v>
      </c>
      <c r="E7">
        <f>D7+C7</f>
        <v>315</v>
      </c>
      <c r="F7">
        <f>E7+2*180</f>
        <v>675</v>
      </c>
      <c r="G7">
        <f>E7-2*180</f>
        <v>-45</v>
      </c>
      <c r="H7">
        <f t="shared" si="3"/>
        <v>315</v>
      </c>
      <c r="I7">
        <f t="shared" si="4"/>
        <v>-45</v>
      </c>
    </row>
    <row r="8" spans="2:9" x14ac:dyDescent="0.25">
      <c r="C8">
        <v>135</v>
      </c>
      <c r="D8">
        <v>135</v>
      </c>
      <c r="E8">
        <f t="shared" ref="E8:E15" si="5">D8+C8</f>
        <v>270</v>
      </c>
      <c r="F8">
        <f t="shared" ref="F8:F15" si="6">E8+2*180</f>
        <v>630</v>
      </c>
      <c r="G8">
        <f t="shared" ref="G8:G15" si="7">E8-2*180</f>
        <v>-90</v>
      </c>
      <c r="H8">
        <f t="shared" si="3"/>
        <v>270</v>
      </c>
      <c r="I8">
        <f t="shared" si="4"/>
        <v>-90</v>
      </c>
    </row>
    <row r="9" spans="2:9" x14ac:dyDescent="0.25">
      <c r="C9">
        <v>90</v>
      </c>
      <c r="D9">
        <v>135</v>
      </c>
      <c r="E9">
        <f t="shared" si="5"/>
        <v>225</v>
      </c>
      <c r="F9">
        <f t="shared" si="6"/>
        <v>585</v>
      </c>
      <c r="G9">
        <f t="shared" si="7"/>
        <v>-135</v>
      </c>
      <c r="H9">
        <f t="shared" si="3"/>
        <v>225</v>
      </c>
      <c r="I9">
        <f t="shared" si="4"/>
        <v>-135</v>
      </c>
    </row>
    <row r="10" spans="2:9" x14ac:dyDescent="0.25">
      <c r="C10">
        <v>45</v>
      </c>
      <c r="D10">
        <v>135</v>
      </c>
      <c r="E10">
        <f t="shared" si="5"/>
        <v>180</v>
      </c>
      <c r="F10">
        <f t="shared" si="6"/>
        <v>540</v>
      </c>
      <c r="G10">
        <f t="shared" si="7"/>
        <v>-180</v>
      </c>
      <c r="H10">
        <f t="shared" si="3"/>
        <v>180</v>
      </c>
      <c r="I10">
        <f t="shared" si="4"/>
        <v>-180</v>
      </c>
    </row>
    <row r="11" spans="2:9" x14ac:dyDescent="0.25">
      <c r="C11">
        <v>0</v>
      </c>
      <c r="D11">
        <v>135</v>
      </c>
      <c r="E11">
        <f t="shared" si="5"/>
        <v>135</v>
      </c>
      <c r="F11">
        <f t="shared" si="6"/>
        <v>495</v>
      </c>
      <c r="G11">
        <f t="shared" si="7"/>
        <v>-225</v>
      </c>
      <c r="H11">
        <f t="shared" si="3"/>
        <v>135</v>
      </c>
      <c r="I11">
        <f t="shared" si="4"/>
        <v>135</v>
      </c>
    </row>
    <row r="12" spans="2:9" x14ac:dyDescent="0.25">
      <c r="C12">
        <v>-45</v>
      </c>
      <c r="D12">
        <v>135</v>
      </c>
      <c r="E12">
        <f t="shared" si="5"/>
        <v>90</v>
      </c>
      <c r="F12">
        <f t="shared" si="6"/>
        <v>450</v>
      </c>
      <c r="G12">
        <f t="shared" si="7"/>
        <v>-270</v>
      </c>
      <c r="H12">
        <f t="shared" si="3"/>
        <v>90</v>
      </c>
      <c r="I12">
        <f t="shared" si="4"/>
        <v>90</v>
      </c>
    </row>
    <row r="13" spans="2:9" x14ac:dyDescent="0.25">
      <c r="C13">
        <v>-90</v>
      </c>
      <c r="D13">
        <v>135</v>
      </c>
      <c r="E13">
        <f t="shared" si="5"/>
        <v>45</v>
      </c>
      <c r="F13">
        <f t="shared" si="6"/>
        <v>405</v>
      </c>
      <c r="G13">
        <f t="shared" si="7"/>
        <v>-315</v>
      </c>
      <c r="H13">
        <f t="shared" si="3"/>
        <v>45</v>
      </c>
      <c r="I13">
        <f t="shared" si="4"/>
        <v>45</v>
      </c>
    </row>
    <row r="14" spans="2:9" x14ac:dyDescent="0.25">
      <c r="C14">
        <v>-135</v>
      </c>
      <c r="D14">
        <v>135</v>
      </c>
      <c r="E14">
        <f t="shared" si="5"/>
        <v>0</v>
      </c>
      <c r="F14">
        <f t="shared" si="6"/>
        <v>360</v>
      </c>
      <c r="G14">
        <f t="shared" si="7"/>
        <v>-360</v>
      </c>
      <c r="H14">
        <f t="shared" si="3"/>
        <v>0</v>
      </c>
      <c r="I14">
        <f t="shared" si="4"/>
        <v>0</v>
      </c>
    </row>
    <row r="15" spans="2:9" x14ac:dyDescent="0.25">
      <c r="C15">
        <v>-180</v>
      </c>
      <c r="D15">
        <v>135</v>
      </c>
      <c r="E15">
        <f t="shared" si="5"/>
        <v>-45</v>
      </c>
      <c r="F15">
        <f t="shared" si="6"/>
        <v>315</v>
      </c>
      <c r="G15">
        <f t="shared" si="7"/>
        <v>-405</v>
      </c>
      <c r="H15">
        <f t="shared" si="3"/>
        <v>315</v>
      </c>
      <c r="I15">
        <f t="shared" si="4"/>
        <v>-45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1"/>
  <sheetViews>
    <sheetView topLeftCell="B1" workbookViewId="0">
      <selection activeCell="O9" sqref="O9"/>
    </sheetView>
  </sheetViews>
  <sheetFormatPr defaultRowHeight="15" x14ac:dyDescent="0.25"/>
  <cols>
    <col min="3" max="3" width="10" bestFit="1" customWidth="1"/>
  </cols>
  <sheetData>
    <row r="2" spans="3:15" ht="20.25" thickBot="1" x14ac:dyDescent="0.35">
      <c r="C2" t="s">
        <v>91</v>
      </c>
      <c r="D2" t="s">
        <v>90</v>
      </c>
      <c r="E2" t="s">
        <v>89</v>
      </c>
      <c r="F2" t="s">
        <v>92</v>
      </c>
      <c r="I2" s="12" t="s">
        <v>115</v>
      </c>
      <c r="J2" s="12"/>
      <c r="K2" s="12"/>
      <c r="L2" s="12"/>
      <c r="M2" s="12"/>
      <c r="N2" s="12"/>
    </row>
    <row r="3" spans="3:15" ht="15.75" thickTop="1" x14ac:dyDescent="0.25">
      <c r="C3">
        <v>2000</v>
      </c>
      <c r="D3">
        <v>20</v>
      </c>
      <c r="E3">
        <v>3000</v>
      </c>
      <c r="F3">
        <f t="shared" ref="F3:F6" si="0">D3/ABS(D3)*(E3-C3)</f>
        <v>1000</v>
      </c>
    </row>
    <row r="4" spans="3:15" x14ac:dyDescent="0.25">
      <c r="C4">
        <v>2500</v>
      </c>
      <c r="D4">
        <v>20</v>
      </c>
      <c r="E4">
        <v>3000</v>
      </c>
      <c r="F4">
        <f t="shared" si="0"/>
        <v>500</v>
      </c>
      <c r="I4" s="14" t="s">
        <v>116</v>
      </c>
      <c r="J4" s="14" t="s">
        <v>117</v>
      </c>
      <c r="K4" s="14" t="s">
        <v>118</v>
      </c>
      <c r="L4" s="14" t="s">
        <v>119</v>
      </c>
      <c r="M4" s="14" t="s">
        <v>120</v>
      </c>
      <c r="N4" s="14" t="s">
        <v>121</v>
      </c>
    </row>
    <row r="5" spans="3:15" x14ac:dyDescent="0.25">
      <c r="C5">
        <v>3000</v>
      </c>
      <c r="D5">
        <v>20</v>
      </c>
      <c r="E5">
        <v>3000</v>
      </c>
      <c r="F5">
        <f t="shared" si="0"/>
        <v>0</v>
      </c>
      <c r="I5">
        <f>500/2</f>
        <v>250</v>
      </c>
      <c r="J5">
        <f>600/2</f>
        <v>300</v>
      </c>
      <c r="K5">
        <v>0</v>
      </c>
      <c r="L5">
        <v>255</v>
      </c>
      <c r="M5">
        <v>150</v>
      </c>
      <c r="N5">
        <f>(I5-J5)*(M5-L5)/(K5-J5)+L5</f>
        <v>237.5</v>
      </c>
    </row>
    <row r="6" spans="3:15" x14ac:dyDescent="0.25">
      <c r="C6">
        <v>3500</v>
      </c>
      <c r="D6">
        <v>20</v>
      </c>
      <c r="E6">
        <v>3000</v>
      </c>
      <c r="F6">
        <f t="shared" si="0"/>
        <v>-500</v>
      </c>
      <c r="I6">
        <v>20</v>
      </c>
      <c r="J6">
        <v>0</v>
      </c>
      <c r="K6">
        <v>33</v>
      </c>
      <c r="L6">
        <v>50</v>
      </c>
      <c r="M6">
        <v>140</v>
      </c>
      <c r="N6">
        <f>(I6-J6)*(M6-L6)/(K6-J6)+L6</f>
        <v>104.54545454545455</v>
      </c>
    </row>
    <row r="7" spans="3:15" x14ac:dyDescent="0.25">
      <c r="I7">
        <v>-1</v>
      </c>
      <c r="J7">
        <v>0</v>
      </c>
      <c r="K7">
        <v>-33</v>
      </c>
      <c r="L7">
        <v>-50</v>
      </c>
      <c r="M7">
        <v>-140</v>
      </c>
      <c r="N7">
        <f>(I7-J7)*(M7-L7)/(K7-J7)+L7</f>
        <v>-52.727272727272727</v>
      </c>
    </row>
    <row r="8" spans="3:15" x14ac:dyDescent="0.25">
      <c r="C8">
        <v>4000</v>
      </c>
      <c r="D8">
        <v>-20</v>
      </c>
      <c r="E8">
        <v>3000</v>
      </c>
      <c r="F8">
        <f>D8/ABS(D8)*(E8-C8)</f>
        <v>1000</v>
      </c>
      <c r="I8">
        <v>-60</v>
      </c>
      <c r="J8">
        <v>-255</v>
      </c>
      <c r="K8">
        <v>0</v>
      </c>
      <c r="L8">
        <v>-140</v>
      </c>
      <c r="M8">
        <v>-50</v>
      </c>
      <c r="N8">
        <f>(I8-J8)*(M8-L8)/(K8-J8)+L8</f>
        <v>-71.17647058823529</v>
      </c>
    </row>
    <row r="9" spans="3:15" x14ac:dyDescent="0.25">
      <c r="C9">
        <v>3500</v>
      </c>
      <c r="D9">
        <v>-20</v>
      </c>
      <c r="E9">
        <v>3000</v>
      </c>
      <c r="F9">
        <f t="shared" ref="F9:F11" si="1">D9/ABS(D9)*(E9-C9)</f>
        <v>500</v>
      </c>
      <c r="H9">
        <f>219/160</f>
        <v>1.3687499999999999</v>
      </c>
      <c r="I9">
        <v>-30</v>
      </c>
      <c r="J9">
        <v>-255</v>
      </c>
      <c r="K9">
        <v>0</v>
      </c>
      <c r="L9">
        <v>-140</v>
      </c>
      <c r="M9">
        <v>-50</v>
      </c>
      <c r="N9">
        <f>(I9-J9)*(M9-L9)/(K9-J9)+L9</f>
        <v>-60.588235294117652</v>
      </c>
      <c r="O9">
        <f>N8/N9</f>
        <v>1.174757281553398</v>
      </c>
    </row>
    <row r="10" spans="3:15" x14ac:dyDescent="0.25">
      <c r="C10">
        <v>3000</v>
      </c>
      <c r="D10">
        <v>-20</v>
      </c>
      <c r="E10">
        <v>3000</v>
      </c>
      <c r="F10">
        <f t="shared" si="1"/>
        <v>0</v>
      </c>
    </row>
    <row r="11" spans="3:15" x14ac:dyDescent="0.25">
      <c r="C11">
        <v>2500</v>
      </c>
      <c r="D11">
        <v>-20</v>
      </c>
      <c r="E11">
        <v>3000</v>
      </c>
      <c r="F11">
        <f t="shared" si="1"/>
        <v>-500</v>
      </c>
    </row>
  </sheetData>
  <mergeCells count="1">
    <mergeCell ref="I2:N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"/>
  <sheetViews>
    <sheetView tabSelected="1" topLeftCell="A4" workbookViewId="0">
      <selection activeCell="G15" sqref="G15"/>
    </sheetView>
  </sheetViews>
  <sheetFormatPr defaultRowHeight="15" x14ac:dyDescent="0.25"/>
  <cols>
    <col min="20" max="20" width="12.28515625" bestFit="1" customWidth="1"/>
  </cols>
  <sheetData>
    <row r="2" spans="2:20" x14ac:dyDescent="0.25">
      <c r="B2" t="s">
        <v>122</v>
      </c>
      <c r="C2" t="s">
        <v>124</v>
      </c>
      <c r="E2" t="s">
        <v>127</v>
      </c>
      <c r="N2" t="s">
        <v>134</v>
      </c>
    </row>
    <row r="3" spans="2:20" x14ac:dyDescent="0.25">
      <c r="B3" t="s">
        <v>123</v>
      </c>
      <c r="C3" t="s">
        <v>125</v>
      </c>
      <c r="E3" t="s">
        <v>126</v>
      </c>
      <c r="F3" t="s">
        <v>128</v>
      </c>
      <c r="G3" t="s">
        <v>129</v>
      </c>
      <c r="H3" t="s">
        <v>130</v>
      </c>
      <c r="J3" t="s">
        <v>131</v>
      </c>
      <c r="K3" t="s">
        <v>132</v>
      </c>
      <c r="L3" t="s">
        <v>133</v>
      </c>
      <c r="N3" t="s">
        <v>135</v>
      </c>
    </row>
    <row r="4" spans="2:20" x14ac:dyDescent="0.25">
      <c r="B4">
        <v>23</v>
      </c>
      <c r="C4">
        <f>2000/-1500</f>
        <v>-1.3333333333333333</v>
      </c>
      <c r="N4">
        <f>B4-C4</f>
        <v>24.333333333333332</v>
      </c>
      <c r="Q4" t="s">
        <v>136</v>
      </c>
    </row>
    <row r="5" spans="2:20" x14ac:dyDescent="0.25">
      <c r="Q5" t="s">
        <v>137</v>
      </c>
      <c r="R5" t="s">
        <v>138</v>
      </c>
      <c r="S5" t="s">
        <v>139</v>
      </c>
      <c r="T5" t="s">
        <v>140</v>
      </c>
    </row>
    <row r="6" spans="2:20" x14ac:dyDescent="0.25">
      <c r="Q6">
        <f>R6/S6/T6*60000</f>
        <v>60</v>
      </c>
      <c r="R6">
        <v>600</v>
      </c>
      <c r="S6">
        <v>600</v>
      </c>
      <c r="T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Formules</vt:lpstr>
      <vt:lpstr>Blad1</vt:lpstr>
      <vt:lpstr>Blad3</vt:lpstr>
      <vt:lpstr>Blad2</vt:lpstr>
      <vt:lpstr>PID Controller</vt:lpstr>
    </vt:vector>
  </TitlesOfParts>
  <Company>VDL Groep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Peeters, Ron</dc:creator>
  <cp:lastModifiedBy>Peeters, Ron</cp:lastModifiedBy>
  <dcterms:created xsi:type="dcterms:W3CDTF">2021-08-31T11:30:40Z</dcterms:created>
  <dcterms:modified xsi:type="dcterms:W3CDTF">2021-09-09T14:29:07Z</dcterms:modified>
</cp:coreProperties>
</file>