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K:\ruzne\Porove_tlaky_PVP_Bukov_II\VTZ\"/>
    </mc:Choice>
  </mc:AlternateContent>
  <xr:revisionPtr revIDLastSave="38" documentId="13_ncr:1_{EE50C2AA-FB41-4A4F-928B-64099F30519E}" xr6:coauthVersionLast="47" xr6:coauthVersionMax="47" xr10:uidLastSave="{0CCC96DC-25C9-48CE-A402-18FA59A4F87D}"/>
  <bookViews>
    <workbookView xWindow="-120" yWindow="-120" windowWidth="29040" windowHeight="15720" firstSheet="2" activeTab="1" xr2:uid="{5112026A-9C12-461E-A8CE-5CF072B61BCB}"/>
  </bookViews>
  <sheets>
    <sheet name="data" sheetId="1" r:id="rId1"/>
    <sheet name="data (2)" sheetId="2" r:id="rId2"/>
    <sheet name="vysledky_VTZ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8" i="2" l="1"/>
  <c r="K338" i="2" s="1"/>
  <c r="L338" i="2" s="1"/>
  <c r="G337" i="2"/>
  <c r="K337" i="2" s="1"/>
  <c r="L337" i="2" s="1"/>
  <c r="M338" i="2" s="1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C321" i="2"/>
  <c r="G320" i="2"/>
  <c r="K320" i="2" s="1"/>
  <c r="L320" i="2" s="1"/>
  <c r="G319" i="2"/>
  <c r="K319" i="2" s="1"/>
  <c r="L319" i="2" s="1"/>
  <c r="M320" i="2" s="1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C302" i="2"/>
  <c r="G301" i="2"/>
  <c r="K301" i="2" s="1"/>
  <c r="L301" i="2" s="1"/>
  <c r="G300" i="2"/>
  <c r="K300" i="2" s="1"/>
  <c r="L300" i="2" s="1"/>
  <c r="G299" i="2"/>
  <c r="K299" i="2" s="1"/>
  <c r="L299" i="2" s="1"/>
  <c r="M301" i="2" s="1"/>
  <c r="G298" i="2"/>
  <c r="G297" i="2"/>
  <c r="G296" i="2"/>
  <c r="G295" i="2"/>
  <c r="G294" i="2"/>
  <c r="G293" i="2"/>
  <c r="G292" i="2"/>
  <c r="G291" i="2"/>
  <c r="C290" i="2"/>
  <c r="G289" i="2"/>
  <c r="K289" i="2" s="1"/>
  <c r="L289" i="2" s="1"/>
  <c r="G288" i="2"/>
  <c r="K288" i="2" s="1"/>
  <c r="L288" i="2" s="1"/>
  <c r="G287" i="2"/>
  <c r="K287" i="2" s="1"/>
  <c r="L287" i="2" s="1"/>
  <c r="M289" i="2" s="1"/>
  <c r="G286" i="2"/>
  <c r="G285" i="2"/>
  <c r="G284" i="2"/>
  <c r="G283" i="2"/>
  <c r="G282" i="2"/>
  <c r="C281" i="2"/>
  <c r="C280" i="2"/>
  <c r="C279" i="2"/>
  <c r="C278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K111" i="2" s="1"/>
  <c r="L111" i="2" s="1"/>
  <c r="G112" i="2"/>
  <c r="K112" i="2" s="1"/>
  <c r="L112" i="2" s="1"/>
  <c r="G95" i="2"/>
  <c r="G39" i="2"/>
  <c r="K39" i="2" s="1"/>
  <c r="L39" i="2" s="1"/>
  <c r="G38" i="2"/>
  <c r="K38" i="2" s="1"/>
  <c r="L38" i="2" s="1"/>
  <c r="M39" i="2" s="1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K21" i="2" s="1"/>
  <c r="L21" i="2" s="1"/>
  <c r="G22" i="2"/>
  <c r="K22" i="2" s="1"/>
  <c r="L22" i="2" s="1"/>
  <c r="G5" i="2"/>
  <c r="G277" i="2"/>
  <c r="K277" i="2" s="1"/>
  <c r="L277" i="2" s="1"/>
  <c r="G276" i="2"/>
  <c r="K276" i="2" s="1"/>
  <c r="L276" i="2" s="1"/>
  <c r="M277" i="2" s="1"/>
  <c r="G275" i="2"/>
  <c r="G274" i="2"/>
  <c r="G273" i="2"/>
  <c r="C272" i="2"/>
  <c r="G271" i="2"/>
  <c r="K271" i="2" s="1"/>
  <c r="L271" i="2" s="1"/>
  <c r="G270" i="2"/>
  <c r="K270" i="2" s="1"/>
  <c r="L270" i="2" s="1"/>
  <c r="M271" i="2" s="1"/>
  <c r="G269" i="2"/>
  <c r="G268" i="2"/>
  <c r="G267" i="2"/>
  <c r="G266" i="2"/>
  <c r="G265" i="2"/>
  <c r="G264" i="2"/>
  <c r="G263" i="2"/>
  <c r="G262" i="2"/>
  <c r="C261" i="2"/>
  <c r="G260" i="2"/>
  <c r="G259" i="2"/>
  <c r="G258" i="2"/>
  <c r="K258" i="2" s="1"/>
  <c r="L258" i="2" s="1"/>
  <c r="G257" i="2"/>
  <c r="K257" i="2" s="1"/>
  <c r="L257" i="2" s="1"/>
  <c r="M258" i="2" s="1"/>
  <c r="G256" i="2"/>
  <c r="G255" i="2"/>
  <c r="G254" i="2"/>
  <c r="G253" i="2"/>
  <c r="G252" i="2"/>
  <c r="G251" i="2"/>
  <c r="C250" i="2"/>
  <c r="G241" i="2"/>
  <c r="G242" i="2"/>
  <c r="G243" i="2"/>
  <c r="G244" i="2"/>
  <c r="G245" i="2"/>
  <c r="G246" i="2"/>
  <c r="G247" i="2"/>
  <c r="G248" i="2"/>
  <c r="K248" i="2" s="1"/>
  <c r="L248" i="2" s="1"/>
  <c r="G249" i="2"/>
  <c r="K249" i="2" s="1"/>
  <c r="L249" i="2" s="1"/>
  <c r="G240" i="2"/>
  <c r="C239" i="2"/>
  <c r="G238" i="2"/>
  <c r="K238" i="2" s="1"/>
  <c r="L238" i="2" s="1"/>
  <c r="G237" i="2"/>
  <c r="K237" i="2" s="1"/>
  <c r="L237" i="2" s="1"/>
  <c r="M238" i="2" s="1"/>
  <c r="G236" i="2"/>
  <c r="G235" i="2"/>
  <c r="G233" i="2"/>
  <c r="G232" i="2"/>
  <c r="G231" i="2"/>
  <c r="G230" i="2"/>
  <c r="G229" i="2"/>
  <c r="C228" i="2"/>
  <c r="C227" i="2"/>
  <c r="G226" i="2"/>
  <c r="K226" i="2" s="1"/>
  <c r="L226" i="2" s="1"/>
  <c r="G225" i="2"/>
  <c r="K225" i="2" s="1"/>
  <c r="L225" i="2" s="1"/>
  <c r="G224" i="2"/>
  <c r="K224" i="2" s="1"/>
  <c r="L224" i="2" s="1"/>
  <c r="M226" i="2" s="1"/>
  <c r="G223" i="2"/>
  <c r="G222" i="2"/>
  <c r="G221" i="2"/>
  <c r="G220" i="2"/>
  <c r="G219" i="2"/>
  <c r="G218" i="2"/>
  <c r="G217" i="2"/>
  <c r="G216" i="2"/>
  <c r="C215" i="2"/>
  <c r="G206" i="2"/>
  <c r="G207" i="2"/>
  <c r="G208" i="2"/>
  <c r="G209" i="2"/>
  <c r="G210" i="2"/>
  <c r="G211" i="2"/>
  <c r="G212" i="2"/>
  <c r="K212" i="2" s="1"/>
  <c r="L212" i="2" s="1"/>
  <c r="G213" i="2"/>
  <c r="K213" i="2" s="1"/>
  <c r="L213" i="2" s="1"/>
  <c r="G214" i="2"/>
  <c r="K214" i="2" s="1"/>
  <c r="L214" i="2" s="1"/>
  <c r="G205" i="2"/>
  <c r="C204" i="2"/>
  <c r="G203" i="2"/>
  <c r="K203" i="2" s="1"/>
  <c r="L203" i="2" s="1"/>
  <c r="G202" i="2"/>
  <c r="K202" i="2" s="1"/>
  <c r="L202" i="2" s="1"/>
  <c r="G201" i="2"/>
  <c r="K201" i="2" s="1"/>
  <c r="L201" i="2" s="1"/>
  <c r="M203" i="2" s="1"/>
  <c r="G200" i="2"/>
  <c r="G199" i="2"/>
  <c r="G198" i="2"/>
  <c r="G197" i="2"/>
  <c r="G196" i="2"/>
  <c r="G195" i="2"/>
  <c r="G194" i="2"/>
  <c r="C193" i="2"/>
  <c r="G183" i="2"/>
  <c r="G184" i="2"/>
  <c r="G185" i="2"/>
  <c r="G186" i="2"/>
  <c r="G187" i="2"/>
  <c r="G188" i="2"/>
  <c r="G189" i="2"/>
  <c r="G190" i="2"/>
  <c r="G191" i="2"/>
  <c r="K191" i="2" s="1"/>
  <c r="L191" i="2" s="1"/>
  <c r="G192" i="2"/>
  <c r="K192" i="2" s="1"/>
  <c r="L192" i="2" s="1"/>
  <c r="G182" i="2"/>
  <c r="C181" i="2"/>
  <c r="G172" i="2"/>
  <c r="G173" i="2"/>
  <c r="G174" i="2"/>
  <c r="G175" i="2"/>
  <c r="G176" i="2"/>
  <c r="G177" i="2"/>
  <c r="G178" i="2"/>
  <c r="K178" i="2" s="1"/>
  <c r="L178" i="2" s="1"/>
  <c r="G179" i="2"/>
  <c r="K179" i="2" s="1"/>
  <c r="L179" i="2" s="1"/>
  <c r="G180" i="2"/>
  <c r="K180" i="2" s="1"/>
  <c r="L180" i="2" s="1"/>
  <c r="G171" i="2"/>
  <c r="C170" i="2"/>
  <c r="G163" i="2"/>
  <c r="G164" i="2"/>
  <c r="G165" i="2"/>
  <c r="G166" i="2"/>
  <c r="G167" i="2"/>
  <c r="K167" i="2" s="1"/>
  <c r="L167" i="2" s="1"/>
  <c r="G168" i="2"/>
  <c r="K168" i="2" s="1"/>
  <c r="L168" i="2" s="1"/>
  <c r="G169" i="2"/>
  <c r="K169" i="2" s="1"/>
  <c r="L169" i="2" s="1"/>
  <c r="G162" i="2"/>
  <c r="C161" i="2"/>
  <c r="G151" i="2"/>
  <c r="G152" i="2"/>
  <c r="G153" i="2"/>
  <c r="G154" i="2"/>
  <c r="G155" i="2"/>
  <c r="G156" i="2"/>
  <c r="K156" i="2" s="1"/>
  <c r="L156" i="2" s="1"/>
  <c r="G157" i="2"/>
  <c r="K157" i="2" s="1"/>
  <c r="L157" i="2" s="1"/>
  <c r="G158" i="2"/>
  <c r="K158" i="2" s="1"/>
  <c r="L158" i="2" s="1"/>
  <c r="G159" i="2"/>
  <c r="K159" i="2" s="1"/>
  <c r="L159" i="2" s="1"/>
  <c r="G160" i="2"/>
  <c r="K160" i="2" s="1"/>
  <c r="L160" i="2" s="1"/>
  <c r="G150" i="2"/>
  <c r="C149" i="2"/>
  <c r="G138" i="2"/>
  <c r="G139" i="2"/>
  <c r="G140" i="2"/>
  <c r="G141" i="2"/>
  <c r="G142" i="2"/>
  <c r="G143" i="2"/>
  <c r="G144" i="2"/>
  <c r="G145" i="2"/>
  <c r="K145" i="2" s="1"/>
  <c r="L145" i="2" s="1"/>
  <c r="G146" i="2"/>
  <c r="K146" i="2" s="1"/>
  <c r="L146" i="2" s="1"/>
  <c r="G147" i="2"/>
  <c r="K147" i="2" s="1"/>
  <c r="L147" i="2" s="1"/>
  <c r="G148" i="2"/>
  <c r="K148" i="2" s="1"/>
  <c r="L148" i="2" s="1"/>
  <c r="G137" i="2"/>
  <c r="C136" i="2"/>
  <c r="G125" i="2"/>
  <c r="G126" i="2"/>
  <c r="G127" i="2"/>
  <c r="G128" i="2"/>
  <c r="G129" i="2"/>
  <c r="G130" i="2"/>
  <c r="G131" i="2"/>
  <c r="G132" i="2"/>
  <c r="K132" i="2" s="1"/>
  <c r="L132" i="2" s="1"/>
  <c r="G133" i="2"/>
  <c r="K133" i="2" s="1"/>
  <c r="L133" i="2" s="1"/>
  <c r="G134" i="2"/>
  <c r="K134" i="2" s="1"/>
  <c r="L134" i="2" s="1"/>
  <c r="G135" i="2"/>
  <c r="K135" i="2" s="1"/>
  <c r="L135" i="2" s="1"/>
  <c r="G124" i="2"/>
  <c r="C123" i="2"/>
  <c r="G115" i="2"/>
  <c r="G116" i="2"/>
  <c r="G117" i="2"/>
  <c r="G118" i="2"/>
  <c r="K118" i="2" s="1"/>
  <c r="L118" i="2" s="1"/>
  <c r="G119" i="2"/>
  <c r="K119" i="2" s="1"/>
  <c r="L119" i="2" s="1"/>
  <c r="G120" i="2"/>
  <c r="K120" i="2" s="1"/>
  <c r="L120" i="2" s="1"/>
  <c r="G121" i="2"/>
  <c r="G122" i="2"/>
  <c r="G114" i="2"/>
  <c r="C113" i="2"/>
  <c r="C94" i="2"/>
  <c r="G86" i="2"/>
  <c r="G87" i="2"/>
  <c r="G88" i="2"/>
  <c r="G89" i="2"/>
  <c r="G90" i="2"/>
  <c r="G91" i="2"/>
  <c r="G92" i="2"/>
  <c r="K92" i="2" s="1"/>
  <c r="L92" i="2" s="1"/>
  <c r="G93" i="2"/>
  <c r="K93" i="2" s="1"/>
  <c r="L93" i="2" s="1"/>
  <c r="G85" i="2"/>
  <c r="C84" i="2"/>
  <c r="G74" i="2"/>
  <c r="G75" i="2"/>
  <c r="G76" i="2"/>
  <c r="G77" i="2"/>
  <c r="G78" i="2"/>
  <c r="G79" i="2"/>
  <c r="G80" i="2"/>
  <c r="K80" i="2" s="1"/>
  <c r="L80" i="2" s="1"/>
  <c r="G81" i="2"/>
  <c r="K81" i="2" s="1"/>
  <c r="L81" i="2" s="1"/>
  <c r="G82" i="2"/>
  <c r="K82" i="2" s="1"/>
  <c r="L82" i="2" s="1"/>
  <c r="G83" i="2"/>
  <c r="K83" i="2" s="1"/>
  <c r="L83" i="2" s="1"/>
  <c r="G73" i="2"/>
  <c r="C72" i="2"/>
  <c r="G71" i="2"/>
  <c r="K71" i="2" s="1"/>
  <c r="L71" i="2" s="1"/>
  <c r="G70" i="2"/>
  <c r="K70" i="2" s="1"/>
  <c r="L70" i="2" s="1"/>
  <c r="G69" i="2"/>
  <c r="K69" i="2" s="1"/>
  <c r="L69" i="2" s="1"/>
  <c r="G68" i="2"/>
  <c r="K68" i="2" s="1"/>
  <c r="L68" i="2" s="1"/>
  <c r="G67" i="2"/>
  <c r="K67" i="2" s="1"/>
  <c r="L67" i="2" s="1"/>
  <c r="M71" i="2" s="1"/>
  <c r="G66" i="2"/>
  <c r="G65" i="2"/>
  <c r="G64" i="2"/>
  <c r="G63" i="2"/>
  <c r="G62" i="2"/>
  <c r="C61" i="2"/>
  <c r="G60" i="2"/>
  <c r="K60" i="2" s="1"/>
  <c r="L60" i="2" s="1"/>
  <c r="G59" i="2"/>
  <c r="K59" i="2" s="1"/>
  <c r="L59" i="2" s="1"/>
  <c r="G58" i="2"/>
  <c r="K58" i="2" s="1"/>
  <c r="L58" i="2" s="1"/>
  <c r="M60" i="2" s="1"/>
  <c r="G57" i="2"/>
  <c r="G56" i="2"/>
  <c r="G55" i="2"/>
  <c r="G54" i="2"/>
  <c r="G53" i="2"/>
  <c r="C52" i="2"/>
  <c r="G42" i="2"/>
  <c r="G43" i="2"/>
  <c r="G44" i="2"/>
  <c r="G45" i="2"/>
  <c r="G46" i="2"/>
  <c r="G47" i="2"/>
  <c r="G48" i="2"/>
  <c r="G49" i="2"/>
  <c r="G50" i="2"/>
  <c r="K50" i="2" s="1"/>
  <c r="L50" i="2" s="1"/>
  <c r="G51" i="2"/>
  <c r="K51" i="2" s="1"/>
  <c r="L51" i="2" s="1"/>
  <c r="G41" i="2"/>
  <c r="C40" i="2"/>
  <c r="C23" i="2"/>
  <c r="C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U2" i="1"/>
  <c r="G8" i="1"/>
  <c r="H8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N6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N5" i="1" s="1"/>
  <c r="G11" i="1"/>
  <c r="H11" i="1" s="1"/>
  <c r="G10" i="1"/>
  <c r="H10" i="1" s="1"/>
  <c r="G9" i="1"/>
  <c r="H9" i="1" s="1"/>
  <c r="G7" i="1"/>
  <c r="H7" i="1" s="1"/>
  <c r="G6" i="1"/>
  <c r="H6" i="1" s="1"/>
  <c r="G5" i="1"/>
  <c r="H5" i="1" s="1"/>
  <c r="E4" i="1"/>
  <c r="G4" i="1" s="1"/>
  <c r="H4" i="1" s="1"/>
  <c r="E3" i="1"/>
  <c r="G3" i="1" s="1"/>
  <c r="H3" i="1" s="1"/>
  <c r="E2" i="1"/>
  <c r="G2" i="1" s="1"/>
  <c r="H2" i="1" s="1"/>
  <c r="M51" i="2" l="1"/>
  <c r="M83" i="2"/>
  <c r="M93" i="2"/>
  <c r="M120" i="2"/>
  <c r="M135" i="2"/>
  <c r="M148" i="2"/>
  <c r="M160" i="2"/>
  <c r="M169" i="2"/>
  <c r="M180" i="2"/>
  <c r="M192" i="2"/>
  <c r="M214" i="2"/>
  <c r="M249" i="2"/>
  <c r="M22" i="2"/>
  <c r="M112" i="2"/>
  <c r="N9" i="1"/>
  <c r="N8" i="1"/>
  <c r="N3" i="1"/>
  <c r="N2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Sosna Karel</author>
  </authors>
  <commentList>
    <comment ref="C1" authorId="0" shapeId="0" xr:uid="{5702283D-7B02-409F-8198-100607124D9A}">
      <text>
        <r>
          <rPr>
            <b/>
            <sz val="9"/>
            <color indexed="81"/>
            <rFont val="Tahoma"/>
            <family val="2"/>
            <charset val="238"/>
          </rPr>
          <t>Sosna Karel:</t>
        </r>
        <r>
          <rPr>
            <sz val="9"/>
            <color indexed="81"/>
            <rFont val="Tahoma"/>
            <family val="2"/>
            <charset val="238"/>
          </rPr>
          <t xml:space="preserve">
po ražbě</t>
        </r>
      </text>
    </comment>
    <comment ref="D1" authorId="0" shapeId="0" xr:uid="{843BDBC5-0378-44AB-8711-08DBE9027EE6}">
      <text>
        <r>
          <rPr>
            <b/>
            <sz val="9"/>
            <color indexed="81"/>
            <rFont val="Tahoma"/>
            <family val="2"/>
            <charset val="238"/>
          </rPr>
          <t>Sosna Karel:</t>
        </r>
        <r>
          <rPr>
            <sz val="9"/>
            <color indexed="81"/>
            <rFont val="Tahoma"/>
            <family val="2"/>
            <charset val="238"/>
          </rPr>
          <t xml:space="preserve">
po ražbě</t>
        </r>
      </text>
    </comment>
    <comment ref="H1" authorId="0" shapeId="0" xr:uid="{20D074D2-E690-4BAE-BAFA-3D9F944C12D4}">
      <text>
        <r>
          <rPr>
            <b/>
            <sz val="9"/>
            <color indexed="81"/>
            <rFont val="Tahoma"/>
            <family val="2"/>
            <charset val="238"/>
          </rPr>
          <t>Sosna Karel:</t>
        </r>
        <r>
          <rPr>
            <sz val="9"/>
            <color indexed="81"/>
            <rFont val="Tahoma"/>
            <family val="2"/>
            <charset val="238"/>
          </rPr>
          <t xml:space="preserve">
před ražbou</t>
        </r>
      </text>
    </comment>
  </commentList>
</comments>
</file>

<file path=xl/sharedStrings.xml><?xml version="1.0" encoding="utf-8"?>
<sst xmlns="http://schemas.openxmlformats.org/spreadsheetml/2006/main" count="266" uniqueCount="76">
  <si>
    <t>vrt</t>
  </si>
  <si>
    <t>etáž (m)</t>
  </si>
  <si>
    <t>délka zk. úseku (m)</t>
  </si>
  <si>
    <t>zkušební tlak (m)</t>
  </si>
  <si>
    <t>čas (s)</t>
  </si>
  <si>
    <t>odečet spotřeby  (m)</t>
  </si>
  <si>
    <t>spotřeba (m3/s)</t>
  </si>
  <si>
    <t>hydraulická vodivost (m/s)</t>
  </si>
  <si>
    <t>spotřeba (ml/min)</t>
  </si>
  <si>
    <t>L5-50UL</t>
  </si>
  <si>
    <t>3,0-13,2</t>
  </si>
  <si>
    <t>L5-49DL</t>
  </si>
  <si>
    <t>2,5-9,14</t>
  </si>
  <si>
    <t>7,5-9,14</t>
  </si>
  <si>
    <t>L5-37UR</t>
  </si>
  <si>
    <t>2,0-10,0</t>
  </si>
  <si>
    <t>5,0-9,14</t>
  </si>
  <si>
    <t>L5-37R</t>
  </si>
  <si>
    <t>5,0-14,5</t>
  </si>
  <si>
    <t>L5-22DR</t>
  </si>
  <si>
    <t>7,0-16,0</t>
  </si>
  <si>
    <t>L5-24DR</t>
  </si>
  <si>
    <t>2,0-11,0</t>
  </si>
  <si>
    <t>nepropustné</t>
  </si>
  <si>
    <t>L5-23UR</t>
  </si>
  <si>
    <t>3,0-12,0</t>
  </si>
  <si>
    <t>L5-26R</t>
  </si>
  <si>
    <t>0,95-10,0</t>
  </si>
  <si>
    <t>6,0-9,14</t>
  </si>
  <si>
    <t>etáž</t>
  </si>
  <si>
    <t>délka zk. úseku</t>
  </si>
  <si>
    <t>zkušební tlak</t>
  </si>
  <si>
    <t>čas</t>
  </si>
  <si>
    <t>odečet spotřeby</t>
  </si>
  <si>
    <t>spotřeba</t>
  </si>
  <si>
    <t>tlak</t>
  </si>
  <si>
    <t>datum a čas</t>
  </si>
  <si>
    <t>tlak v intervalu</t>
  </si>
  <si>
    <t>hydraulická vodivost</t>
  </si>
  <si>
    <t>m</t>
  </si>
  <si>
    <t>min</t>
  </si>
  <si>
    <t>mm3</t>
  </si>
  <si>
    <t>mm3/min</t>
  </si>
  <si>
    <t>bar</t>
  </si>
  <si>
    <t>kPa</t>
  </si>
  <si>
    <t>m3/s</t>
  </si>
  <si>
    <t>m/s</t>
  </si>
  <si>
    <t>target pressure or noted from other columns, not reliable</t>
  </si>
  <si>
    <t>taken from piezo file</t>
  </si>
  <si>
    <t>computed</t>
  </si>
  <si>
    <t>computed, simple model</t>
  </si>
  <si>
    <t>9,5-13,1</t>
  </si>
  <si>
    <t>6,5-9,0</t>
  </si>
  <si>
    <t>3,0-5,5</t>
  </si>
  <si>
    <t>7,5-8,6</t>
  </si>
  <si>
    <t>5,0-6,5</t>
  </si>
  <si>
    <t>2,5-4,0</t>
  </si>
  <si>
    <t>nárůst spotřeby</t>
  </si>
  <si>
    <t>proplachuje se?</t>
  </si>
  <si>
    <t>8,0-9,8</t>
  </si>
  <si>
    <t>5,5-7,5</t>
  </si>
  <si>
    <t>2,0-4,5</t>
  </si>
  <si>
    <t>12,5-14,3</t>
  </si>
  <si>
    <t>9,0-11,5</t>
  </si>
  <si>
    <t>5,0-8,0</t>
  </si>
  <si>
    <t>9,5-12,0</t>
  </si>
  <si>
    <t>6,5-8,5</t>
  </si>
  <si>
    <t>8,5-10,8</t>
  </si>
  <si>
    <t>9,5-12,3</t>
  </si>
  <si>
    <t>o-kroužek neudrží čidlo</t>
  </si>
  <si>
    <t>14,0-15,7</t>
  </si>
  <si>
    <t>chyba, netestováno</t>
  </si>
  <si>
    <t>10,5-13,0</t>
  </si>
  <si>
    <t>namísto toho byl 2× L5-26R</t>
  </si>
  <si>
    <t>8,0-9,5</t>
  </si>
  <si>
    <t>opakování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</si>
</sst>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0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1" fillId="0" borderId="1" xfId="0" applyFont="1" applyBorder="1"/>
    <xf numFmtId="11" fontId="1" fillId="0" borderId="1" xfId="0" applyNumberFormat="1" applyFont="1" applyBorder="1"/>
    <xf numFmtId="11" fontId="2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2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1" fontId="1" fillId="0" borderId="3" xfId="0" applyNumberFormat="1" applyFont="1" applyBorder="1"/>
    <xf numFmtId="11" fontId="2" fillId="0" borderId="3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center" vertical="center" wrapText="1"/>
    </xf>
    <xf numFmtId="22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4" xfId="0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2" fontId="1" fillId="0" borderId="4" xfId="0" applyNumberFormat="1" applyFon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BA82-A83D-4CB3-A5B9-E8CD2064D8C5}">
  <sheetPr>
    <pageSetUpPr fitToPage="1"/>
  </sheetPr>
  <dimension ref="A1:U37"/>
  <sheetViews>
    <sheetView workbookViewId="0">
      <pane ySplit="1" topLeftCell="N2" activePane="bottomLeft" state="frozen"/>
      <selection pane="bottomLeft" activeCell="N2" sqref="N2"/>
    </sheetView>
  </sheetViews>
  <sheetFormatPr defaultRowHeight="15"/>
  <cols>
    <col min="1" max="2" width="9.140625" style="1"/>
    <col min="3" max="3" width="18.28515625" style="1" bestFit="1" customWidth="1"/>
    <col min="4" max="4" width="16.28515625" style="1" bestFit="1" customWidth="1"/>
    <col min="5" max="5" width="9.140625" style="1"/>
    <col min="6" max="6" width="19.140625" style="1" bestFit="1" customWidth="1"/>
    <col min="7" max="7" width="15.28515625" style="1" bestFit="1" customWidth="1"/>
    <col min="8" max="8" width="24.85546875" style="1" bestFit="1" customWidth="1"/>
    <col min="9" max="9" width="17.5703125" style="21" bestFit="1" customWidth="1"/>
    <col min="10" max="10" width="6.85546875" style="1" customWidth="1"/>
    <col min="11" max="11" width="9.28515625" style="1" customWidth="1"/>
    <col min="12" max="12" width="9.42578125" style="1" customWidth="1"/>
    <col min="13" max="13" width="18.28515625" style="1" customWidth="1"/>
    <col min="14" max="14" width="24.85546875" style="1" bestFit="1" customWidth="1"/>
    <col min="15" max="16" width="9.140625" style="1"/>
    <col min="17" max="17" width="18.28515625" style="1" bestFit="1" customWidth="1"/>
    <col min="18" max="18" width="16.140625" style="1" bestFit="1" customWidth="1"/>
    <col min="19" max="19" width="6.42578125" style="1" bestFit="1" customWidth="1"/>
    <col min="20" max="20" width="19.7109375" style="1" bestFit="1" customWidth="1"/>
    <col min="21" max="21" width="15.28515625" style="1" bestFit="1" customWidth="1"/>
    <col min="22" max="16384" width="9.1406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1" t="s">
        <v>8</v>
      </c>
      <c r="K1" s="17" t="s">
        <v>0</v>
      </c>
      <c r="L1" s="17" t="s">
        <v>1</v>
      </c>
      <c r="M1" s="18" t="s">
        <v>2</v>
      </c>
      <c r="N1" s="18" t="s">
        <v>7</v>
      </c>
      <c r="O1" s="17" t="s">
        <v>0</v>
      </c>
      <c r="P1" s="17" t="s">
        <v>1</v>
      </c>
      <c r="Q1" s="17" t="s">
        <v>2</v>
      </c>
      <c r="R1" s="17" t="s">
        <v>3</v>
      </c>
      <c r="S1" s="17" t="s">
        <v>4</v>
      </c>
      <c r="T1" s="17" t="s">
        <v>5</v>
      </c>
      <c r="U1" s="17" t="s">
        <v>6</v>
      </c>
    </row>
    <row r="2" spans="1:21">
      <c r="A2" s="1" t="s">
        <v>9</v>
      </c>
      <c r="B2" s="1" t="s">
        <v>10</v>
      </c>
      <c r="C2" s="7">
        <v>10.199999999999999</v>
      </c>
      <c r="D2" s="1">
        <v>100</v>
      </c>
      <c r="E2" s="1">
        <f>15*60</f>
        <v>900</v>
      </c>
      <c r="F2" s="1">
        <v>1.4999999999999999E-2</v>
      </c>
      <c r="G2" s="2">
        <f>0.131*0.084*F2/E2</f>
        <v>1.8340000000000001E-7</v>
      </c>
      <c r="H2" s="3">
        <f>G2*(1+LN(C2/0.076))/(2*PI()*C2*D2)</f>
        <v>1.6882153553762915E-10</v>
      </c>
      <c r="I2" s="21">
        <f>G2*1000000*60</f>
        <v>11.004000000000001</v>
      </c>
      <c r="J2" s="7"/>
      <c r="K2" s="17" t="s">
        <v>9</v>
      </c>
      <c r="L2" s="17" t="s">
        <v>10</v>
      </c>
      <c r="M2" s="19">
        <v>10.199999999999999</v>
      </c>
      <c r="N2" s="20">
        <f>AVERAGE(H2:H4)</f>
        <v>1.5219517218922628E-10</v>
      </c>
      <c r="O2" s="17" t="s">
        <v>11</v>
      </c>
      <c r="P2" s="17" t="s">
        <v>12</v>
      </c>
      <c r="Q2" s="19">
        <v>6.64</v>
      </c>
      <c r="R2" s="17">
        <v>100</v>
      </c>
      <c r="S2" s="17">
        <v>660</v>
      </c>
      <c r="T2" s="17">
        <v>3.5000000000000003E-2</v>
      </c>
      <c r="U2" s="20">
        <f t="shared" ref="U2" si="0">0.131*0.084*T2/S2</f>
        <v>5.8354545454545463E-7</v>
      </c>
    </row>
    <row r="3" spans="1:21">
      <c r="A3" s="1" t="s">
        <v>9</v>
      </c>
      <c r="B3" s="1" t="s">
        <v>10</v>
      </c>
      <c r="C3" s="7">
        <v>10.199999999999999</v>
      </c>
      <c r="D3" s="1">
        <v>200</v>
      </c>
      <c r="E3" s="1">
        <f>60*11</f>
        <v>660</v>
      </c>
      <c r="F3" s="1">
        <v>0.02</v>
      </c>
      <c r="G3" s="2">
        <f t="shared" ref="G3:G4" si="1">0.131*0.084*F3/E3</f>
        <v>3.3345454545454555E-7</v>
      </c>
      <c r="H3" s="3">
        <f t="shared" ref="H3:H4" si="2">G3*(1+LN(C3/0.076))/(2*PI()*C3*D3)</f>
        <v>1.5347412321602654E-10</v>
      </c>
      <c r="I3" s="21">
        <f t="shared" ref="I3:I29" si="3">G3*1000000*60</f>
        <v>20.007272727272735</v>
      </c>
      <c r="J3" s="7"/>
      <c r="K3" s="17" t="s">
        <v>11</v>
      </c>
      <c r="L3" s="17" t="s">
        <v>12</v>
      </c>
      <c r="M3" s="19">
        <v>6.64</v>
      </c>
      <c r="N3" s="20">
        <f>AVERAGE(H5:H7)</f>
        <v>6.1573254639769625E-10</v>
      </c>
      <c r="O3" s="17" t="s">
        <v>11</v>
      </c>
      <c r="P3" s="17" t="s">
        <v>13</v>
      </c>
      <c r="Q3" s="17">
        <v>1.64</v>
      </c>
      <c r="R3" s="17">
        <v>100</v>
      </c>
      <c r="S3" s="17">
        <v>600</v>
      </c>
      <c r="T3" s="17">
        <v>0.01</v>
      </c>
      <c r="U3" s="17">
        <v>1.8340000000000004E-7</v>
      </c>
    </row>
    <row r="4" spans="1:21" ht="15.75" thickBot="1">
      <c r="A4" s="4" t="s">
        <v>9</v>
      </c>
      <c r="B4" s="4" t="s">
        <v>10</v>
      </c>
      <c r="C4" s="8">
        <v>10.199999999999999</v>
      </c>
      <c r="D4" s="4">
        <v>400</v>
      </c>
      <c r="E4" s="4">
        <f>11*60</f>
        <v>660</v>
      </c>
      <c r="F4" s="4">
        <v>3.5000000000000003E-2</v>
      </c>
      <c r="G4" s="5">
        <f t="shared" si="1"/>
        <v>5.8354545454545463E-7</v>
      </c>
      <c r="H4" s="6">
        <f t="shared" si="2"/>
        <v>1.3428985781402319E-10</v>
      </c>
      <c r="I4" s="21">
        <f t="shared" si="3"/>
        <v>35.012727272727275</v>
      </c>
      <c r="J4" s="7"/>
      <c r="K4" s="17" t="s">
        <v>14</v>
      </c>
      <c r="L4" s="17" t="s">
        <v>15</v>
      </c>
      <c r="M4" s="19">
        <v>8</v>
      </c>
      <c r="N4" s="20">
        <f>AVERAGE(H8:H9,H10)</f>
        <v>1.8293061484269055E-10</v>
      </c>
      <c r="O4" s="17" t="s">
        <v>11</v>
      </c>
      <c r="P4" s="17" t="s">
        <v>16</v>
      </c>
      <c r="Q4" s="17">
        <v>4.1399999999999997</v>
      </c>
      <c r="R4" s="17">
        <v>100</v>
      </c>
      <c r="S4" s="17">
        <v>600</v>
      </c>
      <c r="T4" s="17">
        <v>0.02</v>
      </c>
      <c r="U4" s="17">
        <v>3.6680000000000008E-7</v>
      </c>
    </row>
    <row r="5" spans="1:21">
      <c r="A5" s="1" t="s">
        <v>11</v>
      </c>
      <c r="B5" s="1" t="s">
        <v>12</v>
      </c>
      <c r="C5" s="7">
        <v>6.64</v>
      </c>
      <c r="D5" s="1">
        <v>100</v>
      </c>
      <c r="E5" s="1">
        <v>660</v>
      </c>
      <c r="F5" s="1">
        <v>3.5000000000000003E-2</v>
      </c>
      <c r="G5" s="2">
        <f t="shared" ref="G5:G9" si="4">0.131*0.084*F5/E5</f>
        <v>5.8354545454545463E-7</v>
      </c>
      <c r="H5" s="3">
        <f t="shared" ref="H5:H9" si="5">G5*(1+LN(C5/0.076))/(2*PI()*C5*D5)</f>
        <v>7.6511144818648644E-10</v>
      </c>
      <c r="I5" s="21">
        <f t="shared" si="3"/>
        <v>35.012727272727275</v>
      </c>
      <c r="J5" s="7"/>
      <c r="K5" s="17" t="s">
        <v>17</v>
      </c>
      <c r="L5" s="17" t="s">
        <v>18</v>
      </c>
      <c r="M5" s="19">
        <v>9.5</v>
      </c>
      <c r="N5" s="20">
        <f>AVERAGE(H12:H14)</f>
        <v>7.8346001545363711E-11</v>
      </c>
    </row>
    <row r="6" spans="1:21">
      <c r="A6" s="1" t="s">
        <v>11</v>
      </c>
      <c r="B6" s="1" t="s">
        <v>12</v>
      </c>
      <c r="C6" s="7">
        <v>6.64</v>
      </c>
      <c r="D6" s="1">
        <v>200</v>
      </c>
      <c r="E6" s="1">
        <v>600</v>
      </c>
      <c r="F6" s="1">
        <v>0.05</v>
      </c>
      <c r="G6" s="2">
        <f t="shared" si="4"/>
        <v>9.1700000000000028E-7</v>
      </c>
      <c r="H6" s="3">
        <f t="shared" si="5"/>
        <v>6.0115899500366802E-10</v>
      </c>
      <c r="I6" s="21">
        <f t="shared" si="3"/>
        <v>55.020000000000017</v>
      </c>
      <c r="J6" s="7"/>
      <c r="K6" s="17" t="s">
        <v>19</v>
      </c>
      <c r="L6" s="17" t="s">
        <v>20</v>
      </c>
      <c r="M6" s="19">
        <v>9</v>
      </c>
      <c r="N6" s="20">
        <f>H18</f>
        <v>9.3635876219785233E-11</v>
      </c>
    </row>
    <row r="7" spans="1:21" ht="15.75" thickBot="1">
      <c r="A7" s="4" t="s">
        <v>11</v>
      </c>
      <c r="B7" s="4" t="s">
        <v>12</v>
      </c>
      <c r="C7" s="8">
        <v>6.64</v>
      </c>
      <c r="D7" s="4">
        <v>400</v>
      </c>
      <c r="E7" s="4">
        <v>600</v>
      </c>
      <c r="F7" s="4">
        <v>0.08</v>
      </c>
      <c r="G7" s="5">
        <f t="shared" si="4"/>
        <v>1.4672000000000003E-6</v>
      </c>
      <c r="H7" s="6">
        <f t="shared" si="5"/>
        <v>4.8092719600293439E-10</v>
      </c>
      <c r="I7" s="21">
        <f t="shared" si="3"/>
        <v>88.032000000000011</v>
      </c>
      <c r="J7" s="7"/>
      <c r="K7" s="17" t="s">
        <v>21</v>
      </c>
      <c r="L7" s="17" t="s">
        <v>22</v>
      </c>
      <c r="M7" s="19">
        <v>9</v>
      </c>
      <c r="N7" s="17" t="s">
        <v>23</v>
      </c>
    </row>
    <row r="8" spans="1:21">
      <c r="A8" s="1" t="s">
        <v>14</v>
      </c>
      <c r="B8" s="1" t="s">
        <v>15</v>
      </c>
      <c r="C8" s="7">
        <v>8</v>
      </c>
      <c r="D8" s="1">
        <v>100</v>
      </c>
      <c r="E8" s="1">
        <v>660</v>
      </c>
      <c r="F8" s="1">
        <v>0.01</v>
      </c>
      <c r="G8" s="2">
        <f t="shared" si="4"/>
        <v>1.6672727272727277E-7</v>
      </c>
      <c r="H8" s="3">
        <f t="shared" si="5"/>
        <v>1.8762114342840055E-10</v>
      </c>
      <c r="I8" s="21">
        <f t="shared" si="3"/>
        <v>10.003636363636367</v>
      </c>
      <c r="J8" s="7"/>
      <c r="K8" s="17" t="s">
        <v>24</v>
      </c>
      <c r="L8" s="17" t="s">
        <v>25</v>
      </c>
      <c r="M8" s="19">
        <v>9</v>
      </c>
      <c r="N8" s="20">
        <f>AVERAGE(H24:H26)</f>
        <v>3.9014948424910515E-11</v>
      </c>
    </row>
    <row r="9" spans="1:21">
      <c r="A9" s="1" t="s">
        <v>14</v>
      </c>
      <c r="B9" s="1" t="s">
        <v>15</v>
      </c>
      <c r="C9" s="7">
        <v>8</v>
      </c>
      <c r="D9" s="1">
        <v>200</v>
      </c>
      <c r="E9" s="1">
        <v>600</v>
      </c>
      <c r="F9" s="1">
        <v>2.2499999999999999E-2</v>
      </c>
      <c r="G9" s="2">
        <f t="shared" si="4"/>
        <v>4.1265000000000003E-7</v>
      </c>
      <c r="H9" s="3">
        <f t="shared" si="5"/>
        <v>2.3218116499264565E-10</v>
      </c>
      <c r="I9" s="21">
        <f t="shared" si="3"/>
        <v>24.759</v>
      </c>
      <c r="J9" s="7"/>
      <c r="K9" s="17" t="s">
        <v>26</v>
      </c>
      <c r="L9" s="17" t="s">
        <v>25</v>
      </c>
      <c r="M9" s="19">
        <v>9</v>
      </c>
      <c r="N9" s="20">
        <f>AVERAGE(H27:H29)</f>
        <v>4.9655388904431572E-11</v>
      </c>
    </row>
    <row r="10" spans="1:21" ht="15.75" thickBot="1">
      <c r="A10" s="4" t="s">
        <v>14</v>
      </c>
      <c r="B10" s="4" t="s">
        <v>15</v>
      </c>
      <c r="C10" s="8">
        <v>8</v>
      </c>
      <c r="D10" s="4">
        <v>400</v>
      </c>
      <c r="E10" s="4">
        <v>600</v>
      </c>
      <c r="F10" s="4">
        <v>2.5000000000000001E-2</v>
      </c>
      <c r="G10" s="5">
        <f t="shared" ref="G10:G29" si="6">0.131*0.084*F10/E10</f>
        <v>4.5850000000000014E-7</v>
      </c>
      <c r="H10" s="6">
        <f t="shared" ref="H10:H29" si="7">G10*(1+LN(C10/0.076))/(2*PI()*C10*D10)</f>
        <v>1.2898953610702539E-10</v>
      </c>
      <c r="I10" s="21">
        <f t="shared" si="3"/>
        <v>27.510000000000009</v>
      </c>
      <c r="J10" s="7"/>
    </row>
    <row r="11" spans="1:21" ht="15.75" thickBot="1">
      <c r="A11" s="9" t="s">
        <v>14</v>
      </c>
      <c r="B11" s="9" t="s">
        <v>27</v>
      </c>
      <c r="C11" s="10">
        <v>9.0500000000000007</v>
      </c>
      <c r="D11" s="9">
        <v>400</v>
      </c>
      <c r="E11" s="9">
        <v>600</v>
      </c>
      <c r="F11" s="9">
        <v>0.04</v>
      </c>
      <c r="G11" s="11">
        <f t="shared" si="6"/>
        <v>7.3360000000000016E-7</v>
      </c>
      <c r="H11" s="12">
        <f t="shared" si="7"/>
        <v>1.864157896269166E-10</v>
      </c>
      <c r="I11" s="21">
        <f t="shared" si="3"/>
        <v>44.016000000000005</v>
      </c>
      <c r="J11" s="7"/>
    </row>
    <row r="12" spans="1:21">
      <c r="A12" s="13" t="s">
        <v>17</v>
      </c>
      <c r="B12" s="13" t="s">
        <v>18</v>
      </c>
      <c r="C12" s="14">
        <v>9.5</v>
      </c>
      <c r="D12" s="13">
        <v>100</v>
      </c>
      <c r="E12" s="13">
        <v>600</v>
      </c>
      <c r="F12" s="13">
        <v>5.0000000000000001E-3</v>
      </c>
      <c r="G12" s="15">
        <f t="shared" si="6"/>
        <v>9.170000000000002E-8</v>
      </c>
      <c r="H12" s="16">
        <f t="shared" si="7"/>
        <v>8.953828748041569E-11</v>
      </c>
      <c r="I12" s="21">
        <f t="shared" si="3"/>
        <v>5.5020000000000007</v>
      </c>
      <c r="J12" s="7"/>
    </row>
    <row r="13" spans="1:21">
      <c r="A13" s="1" t="s">
        <v>17</v>
      </c>
      <c r="B13" s="1" t="s">
        <v>18</v>
      </c>
      <c r="C13" s="7">
        <v>9.5</v>
      </c>
      <c r="D13" s="1">
        <v>200</v>
      </c>
      <c r="E13" s="1">
        <v>600</v>
      </c>
      <c r="F13" s="1">
        <v>7.4999999999999997E-3</v>
      </c>
      <c r="G13" s="2">
        <f t="shared" si="6"/>
        <v>1.3755000000000001E-7</v>
      </c>
      <c r="H13" s="3">
        <f t="shared" si="7"/>
        <v>6.7153715610311758E-11</v>
      </c>
      <c r="I13" s="21">
        <f t="shared" si="3"/>
        <v>8.2530000000000001</v>
      </c>
      <c r="J13" s="7"/>
    </row>
    <row r="14" spans="1:21" ht="15.75" thickBot="1">
      <c r="A14" s="4" t="s">
        <v>17</v>
      </c>
      <c r="B14" s="4" t="s">
        <v>18</v>
      </c>
      <c r="C14" s="8">
        <v>9.5</v>
      </c>
      <c r="D14" s="4">
        <v>400</v>
      </c>
      <c r="E14" s="4">
        <v>600</v>
      </c>
      <c r="F14" s="4">
        <v>1.7500000000000002E-2</v>
      </c>
      <c r="G14" s="5">
        <f t="shared" si="6"/>
        <v>3.2095000000000008E-7</v>
      </c>
      <c r="H14" s="6">
        <f t="shared" si="7"/>
        <v>7.8346001545363724E-11</v>
      </c>
      <c r="I14" s="21">
        <f t="shared" si="3"/>
        <v>19.257000000000005</v>
      </c>
      <c r="J14" s="7"/>
    </row>
    <row r="15" spans="1:21" ht="15.75" thickBot="1">
      <c r="A15" s="9" t="s">
        <v>11</v>
      </c>
      <c r="B15" s="9" t="s">
        <v>13</v>
      </c>
      <c r="C15" s="10">
        <v>1.64</v>
      </c>
      <c r="D15" s="9">
        <v>100</v>
      </c>
      <c r="E15" s="9">
        <v>600</v>
      </c>
      <c r="F15" s="9">
        <v>0.01</v>
      </c>
      <c r="G15" s="11">
        <f t="shared" si="6"/>
        <v>1.8340000000000004E-7</v>
      </c>
      <c r="H15" s="12">
        <f t="shared" si="7"/>
        <v>7.2469176470507652E-10</v>
      </c>
      <c r="I15" s="21">
        <f t="shared" si="3"/>
        <v>11.004000000000001</v>
      </c>
      <c r="J15" s="7"/>
    </row>
    <row r="16" spans="1:21" ht="15.75" thickBot="1">
      <c r="A16" s="9" t="s">
        <v>11</v>
      </c>
      <c r="B16" s="9" t="s">
        <v>16</v>
      </c>
      <c r="C16" s="10">
        <v>4.1399999999999997</v>
      </c>
      <c r="D16" s="9">
        <v>100</v>
      </c>
      <c r="E16" s="9">
        <v>600</v>
      </c>
      <c r="F16" s="9">
        <v>0.02</v>
      </c>
      <c r="G16" s="11">
        <f t="shared" si="6"/>
        <v>3.6680000000000008E-7</v>
      </c>
      <c r="H16" s="12">
        <f t="shared" si="7"/>
        <v>7.0472688646009288E-10</v>
      </c>
      <c r="I16" s="21">
        <f t="shared" si="3"/>
        <v>22.008000000000003</v>
      </c>
      <c r="J16" s="7"/>
    </row>
    <row r="17" spans="1:10" ht="15.75" thickBot="1">
      <c r="A17" s="9" t="s">
        <v>11</v>
      </c>
      <c r="B17" s="9" t="s">
        <v>28</v>
      </c>
      <c r="C17" s="10">
        <v>3.14</v>
      </c>
      <c r="D17" s="9">
        <v>100</v>
      </c>
      <c r="E17" s="9">
        <v>600</v>
      </c>
      <c r="F17" s="9">
        <v>0.02</v>
      </c>
      <c r="G17" s="11">
        <f t="shared" si="6"/>
        <v>3.6680000000000008E-7</v>
      </c>
      <c r="H17" s="12">
        <f t="shared" si="7"/>
        <v>8.7776108836745987E-10</v>
      </c>
      <c r="I17" s="21">
        <f t="shared" si="3"/>
        <v>22.008000000000003</v>
      </c>
      <c r="J17" s="7"/>
    </row>
    <row r="18" spans="1:10">
      <c r="A18" s="1" t="s">
        <v>19</v>
      </c>
      <c r="B18" s="1" t="s">
        <v>20</v>
      </c>
      <c r="C18" s="7">
        <v>9</v>
      </c>
      <c r="D18" s="1">
        <v>100</v>
      </c>
      <c r="E18" s="1">
        <v>600</v>
      </c>
      <c r="F18" s="1">
        <v>5.0000000000000001E-3</v>
      </c>
      <c r="G18" s="2">
        <f t="shared" si="6"/>
        <v>9.170000000000002E-8</v>
      </c>
      <c r="H18" s="3">
        <f t="shared" si="7"/>
        <v>9.3635876219785233E-11</v>
      </c>
      <c r="I18" s="21">
        <f t="shared" si="3"/>
        <v>5.5020000000000007</v>
      </c>
      <c r="J18" s="7"/>
    </row>
    <row r="19" spans="1:10">
      <c r="A19" s="1" t="s">
        <v>19</v>
      </c>
      <c r="B19" s="1" t="s">
        <v>20</v>
      </c>
      <c r="C19" s="7">
        <v>9</v>
      </c>
      <c r="D19" s="1">
        <v>200</v>
      </c>
      <c r="E19" s="1">
        <v>600</v>
      </c>
      <c r="F19" s="1">
        <v>0</v>
      </c>
      <c r="G19" s="2">
        <f t="shared" si="6"/>
        <v>0</v>
      </c>
      <c r="H19" s="3">
        <f t="shared" si="7"/>
        <v>0</v>
      </c>
      <c r="I19" s="21">
        <f t="shared" si="3"/>
        <v>0</v>
      </c>
      <c r="J19" s="7"/>
    </row>
    <row r="20" spans="1:10" ht="15.75" thickBot="1">
      <c r="A20" s="4" t="s">
        <v>19</v>
      </c>
      <c r="B20" s="4" t="s">
        <v>20</v>
      </c>
      <c r="C20" s="8">
        <v>9</v>
      </c>
      <c r="D20" s="4">
        <v>400</v>
      </c>
      <c r="E20" s="4">
        <v>600</v>
      </c>
      <c r="F20" s="4">
        <v>0</v>
      </c>
      <c r="G20" s="5">
        <f t="shared" si="6"/>
        <v>0</v>
      </c>
      <c r="H20" s="6">
        <f t="shared" si="7"/>
        <v>0</v>
      </c>
      <c r="I20" s="21">
        <f t="shared" si="3"/>
        <v>0</v>
      </c>
      <c r="J20" s="7"/>
    </row>
    <row r="21" spans="1:10">
      <c r="A21" s="1" t="s">
        <v>21</v>
      </c>
      <c r="B21" s="1" t="s">
        <v>22</v>
      </c>
      <c r="C21" s="7">
        <v>9</v>
      </c>
      <c r="D21" s="1">
        <v>100</v>
      </c>
      <c r="E21" s="1">
        <v>600</v>
      </c>
      <c r="F21" s="1">
        <v>0</v>
      </c>
      <c r="G21" s="2">
        <f t="shared" si="6"/>
        <v>0</v>
      </c>
      <c r="H21" s="3">
        <f t="shared" si="7"/>
        <v>0</v>
      </c>
      <c r="I21" s="21">
        <f t="shared" si="3"/>
        <v>0</v>
      </c>
      <c r="J21" s="7"/>
    </row>
    <row r="22" spans="1:10">
      <c r="A22" s="1" t="s">
        <v>21</v>
      </c>
      <c r="B22" s="1" t="s">
        <v>22</v>
      </c>
      <c r="C22" s="7">
        <v>9</v>
      </c>
      <c r="D22" s="1">
        <v>200</v>
      </c>
      <c r="E22" s="1">
        <v>600</v>
      </c>
      <c r="F22" s="1">
        <v>0</v>
      </c>
      <c r="G22" s="2">
        <f t="shared" si="6"/>
        <v>0</v>
      </c>
      <c r="H22" s="3">
        <f t="shared" si="7"/>
        <v>0</v>
      </c>
      <c r="I22" s="21">
        <f t="shared" si="3"/>
        <v>0</v>
      </c>
      <c r="J22" s="7"/>
    </row>
    <row r="23" spans="1:10" ht="15.75" thickBot="1">
      <c r="A23" s="4" t="s">
        <v>21</v>
      </c>
      <c r="B23" s="4" t="s">
        <v>22</v>
      </c>
      <c r="C23" s="8">
        <v>9</v>
      </c>
      <c r="D23" s="4">
        <v>400</v>
      </c>
      <c r="E23" s="4">
        <v>600</v>
      </c>
      <c r="F23" s="4">
        <v>0</v>
      </c>
      <c r="G23" s="5">
        <f t="shared" si="6"/>
        <v>0</v>
      </c>
      <c r="H23" s="6">
        <f t="shared" si="7"/>
        <v>0</v>
      </c>
      <c r="I23" s="21">
        <f t="shared" si="3"/>
        <v>0</v>
      </c>
      <c r="J23" s="7"/>
    </row>
    <row r="24" spans="1:10">
      <c r="A24" s="1" t="s">
        <v>24</v>
      </c>
      <c r="B24" s="1" t="s">
        <v>25</v>
      </c>
      <c r="C24" s="7">
        <v>9</v>
      </c>
      <c r="D24" s="1">
        <v>100</v>
      </c>
      <c r="E24" s="1">
        <v>600</v>
      </c>
      <c r="F24" s="1">
        <v>2.5000000000000001E-3</v>
      </c>
      <c r="G24" s="2">
        <f t="shared" si="6"/>
        <v>4.585000000000001E-8</v>
      </c>
      <c r="H24" s="3">
        <f t="shared" si="7"/>
        <v>4.6817938109892616E-11</v>
      </c>
      <c r="I24" s="21">
        <f t="shared" si="3"/>
        <v>2.7510000000000003</v>
      </c>
      <c r="J24" s="7"/>
    </row>
    <row r="25" spans="1:10">
      <c r="A25" s="1" t="s">
        <v>24</v>
      </c>
      <c r="B25" s="1" t="s">
        <v>25</v>
      </c>
      <c r="C25" s="7">
        <v>9</v>
      </c>
      <c r="D25" s="1">
        <v>200</v>
      </c>
      <c r="E25" s="1">
        <v>600</v>
      </c>
      <c r="F25" s="1">
        <v>5.0000000000000001E-3</v>
      </c>
      <c r="G25" s="2">
        <f t="shared" si="6"/>
        <v>9.170000000000002E-8</v>
      </c>
      <c r="H25" s="3">
        <f t="shared" si="7"/>
        <v>4.6817938109892616E-11</v>
      </c>
      <c r="I25" s="21">
        <f t="shared" si="3"/>
        <v>5.5020000000000007</v>
      </c>
      <c r="J25" s="7"/>
    </row>
    <row r="26" spans="1:10" ht="15.75" thickBot="1">
      <c r="A26" s="4" t="s">
        <v>24</v>
      </c>
      <c r="B26" s="4" t="s">
        <v>25</v>
      </c>
      <c r="C26" s="8">
        <v>9</v>
      </c>
      <c r="D26" s="4">
        <v>400</v>
      </c>
      <c r="E26" s="4">
        <v>600</v>
      </c>
      <c r="F26" s="4">
        <v>5.0000000000000001E-3</v>
      </c>
      <c r="G26" s="5">
        <f t="shared" si="6"/>
        <v>9.170000000000002E-8</v>
      </c>
      <c r="H26" s="6">
        <f t="shared" si="7"/>
        <v>2.3408969054946308E-11</v>
      </c>
      <c r="I26" s="21">
        <f t="shared" si="3"/>
        <v>5.5020000000000007</v>
      </c>
      <c r="J26" s="7"/>
    </row>
    <row r="27" spans="1:10">
      <c r="A27" s="1" t="s">
        <v>26</v>
      </c>
      <c r="B27" s="1" t="s">
        <v>25</v>
      </c>
      <c r="C27" s="7">
        <v>9</v>
      </c>
      <c r="D27" s="1">
        <v>100</v>
      </c>
      <c r="E27" s="1">
        <v>660</v>
      </c>
      <c r="F27" s="1">
        <v>5.0000000000000001E-3</v>
      </c>
      <c r="G27" s="2">
        <f t="shared" si="6"/>
        <v>8.3363636363636387E-8</v>
      </c>
      <c r="H27" s="3">
        <f t="shared" si="7"/>
        <v>8.5123523836168405E-11</v>
      </c>
      <c r="I27" s="21">
        <f t="shared" si="3"/>
        <v>5.0018181818181837</v>
      </c>
      <c r="J27" s="7"/>
    </row>
    <row r="28" spans="1:10">
      <c r="A28" s="1" t="s">
        <v>26</v>
      </c>
      <c r="B28" s="1" t="s">
        <v>25</v>
      </c>
      <c r="C28" s="7">
        <v>9</v>
      </c>
      <c r="D28" s="1">
        <v>200</v>
      </c>
      <c r="E28" s="1">
        <v>660</v>
      </c>
      <c r="F28" s="1">
        <v>5.0000000000000001E-3</v>
      </c>
      <c r="G28" s="2">
        <f t="shared" si="6"/>
        <v>8.3363636363636387E-8</v>
      </c>
      <c r="H28" s="3">
        <f t="shared" si="7"/>
        <v>4.2561761918084203E-11</v>
      </c>
      <c r="I28" s="21">
        <f t="shared" si="3"/>
        <v>5.0018181818181837</v>
      </c>
      <c r="J28" s="7"/>
    </row>
    <row r="29" spans="1:10">
      <c r="A29" s="1" t="s">
        <v>26</v>
      </c>
      <c r="B29" s="1" t="s">
        <v>25</v>
      </c>
      <c r="C29" s="7">
        <v>9</v>
      </c>
      <c r="D29" s="1">
        <v>400</v>
      </c>
      <c r="E29" s="1">
        <v>660</v>
      </c>
      <c r="F29" s="1">
        <v>5.0000000000000001E-3</v>
      </c>
      <c r="G29" s="2">
        <f t="shared" si="6"/>
        <v>8.3363636363636387E-8</v>
      </c>
      <c r="H29" s="3">
        <f t="shared" si="7"/>
        <v>2.1280880959042101E-11</v>
      </c>
      <c r="I29" s="21">
        <f t="shared" si="3"/>
        <v>5.0018181818181837</v>
      </c>
      <c r="J29" s="7"/>
    </row>
    <row r="30" spans="1:10">
      <c r="C30" s="7"/>
    </row>
    <row r="31" spans="1:10">
      <c r="C31" s="7"/>
    </row>
    <row r="32" spans="1:10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</sheetData>
  <pageMargins left="0.7" right="0.7" top="0.78740157499999996" bottom="0.78740157499999996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6A8-17BD-4159-9ACC-73F26BEB05BB}">
  <sheetPr>
    <pageSetUpPr fitToPage="1"/>
  </sheetPr>
  <dimension ref="A1:M338"/>
  <sheetViews>
    <sheetView tabSelected="1" workbookViewId="0">
      <pane ySplit="1" topLeftCell="A2" activePane="bottomLeft" state="frozen"/>
      <selection pane="bottomLeft" sqref="A1:XFD2"/>
    </sheetView>
  </sheetViews>
  <sheetFormatPr defaultRowHeight="15"/>
  <cols>
    <col min="1" max="2" width="9.140625" style="22"/>
    <col min="3" max="3" width="9.28515625" style="31" customWidth="1"/>
    <col min="4" max="4" width="8.5703125" style="22" customWidth="1"/>
    <col min="5" max="5" width="6.42578125" style="22" bestFit="1" customWidth="1"/>
    <col min="6" max="6" width="9.5703125" style="27" customWidth="1"/>
    <col min="7" max="7" width="8.5703125" style="27" customWidth="1"/>
    <col min="8" max="8" width="8.5703125" style="31" customWidth="1"/>
    <col min="9" max="9" width="15.28515625" style="32" bestFit="1" customWidth="1"/>
    <col min="10" max="10" width="12.7109375" style="27" customWidth="1"/>
    <col min="11" max="11" width="9.7109375" style="22" customWidth="1"/>
    <col min="12" max="12" width="13.85546875" style="22" customWidth="1"/>
    <col min="13" max="13" width="8.5703125" style="22" bestFit="1" customWidth="1"/>
    <col min="14" max="16384" width="9.140625" style="22"/>
  </cols>
  <sheetData>
    <row r="1" spans="1:13" s="23" customFormat="1" ht="30.75">
      <c r="A1" s="23" t="s">
        <v>0</v>
      </c>
      <c r="B1" s="23" t="s">
        <v>29</v>
      </c>
      <c r="C1" s="30" t="s">
        <v>30</v>
      </c>
      <c r="D1" s="23" t="s">
        <v>31</v>
      </c>
      <c r="E1" s="23" t="s">
        <v>32</v>
      </c>
      <c r="F1" s="28" t="s">
        <v>33</v>
      </c>
      <c r="G1" s="28" t="s">
        <v>34</v>
      </c>
      <c r="H1" s="30" t="s">
        <v>35</v>
      </c>
      <c r="I1" s="33" t="s">
        <v>36</v>
      </c>
      <c r="J1" s="28" t="s">
        <v>37</v>
      </c>
      <c r="K1" s="23" t="s">
        <v>34</v>
      </c>
      <c r="L1" s="23" t="s">
        <v>38</v>
      </c>
    </row>
    <row r="2" spans="1:13" s="23" customFormat="1" ht="30.75">
      <c r="B2" s="23" t="s">
        <v>39</v>
      </c>
      <c r="C2" s="30" t="s">
        <v>39</v>
      </c>
      <c r="D2" s="23" t="s">
        <v>39</v>
      </c>
      <c r="E2" s="23" t="s">
        <v>40</v>
      </c>
      <c r="F2" s="28" t="s">
        <v>41</v>
      </c>
      <c r="G2" s="28" t="s">
        <v>42</v>
      </c>
      <c r="H2" s="30" t="s">
        <v>43</v>
      </c>
      <c r="I2" s="33"/>
      <c r="J2" s="28" t="s">
        <v>44</v>
      </c>
      <c r="K2" s="23" t="s">
        <v>45</v>
      </c>
      <c r="L2" s="23" t="s">
        <v>46</v>
      </c>
    </row>
    <row r="3" spans="1:13" s="23" customFormat="1" ht="121.5">
      <c r="C3" s="30"/>
      <c r="D3" s="23" t="s">
        <v>47</v>
      </c>
      <c r="F3" s="28"/>
      <c r="G3" s="28"/>
      <c r="H3" s="30"/>
      <c r="J3" s="33" t="s">
        <v>48</v>
      </c>
      <c r="K3" s="23" t="s">
        <v>49</v>
      </c>
      <c r="L3" s="23" t="s">
        <v>50</v>
      </c>
    </row>
    <row r="4" spans="1:13">
      <c r="A4" s="22" t="s">
        <v>9</v>
      </c>
      <c r="B4" s="22" t="s">
        <v>51</v>
      </c>
      <c r="C4" s="31">
        <f>13.1-9.5</f>
        <v>3.5999999999999996</v>
      </c>
      <c r="D4" s="29"/>
      <c r="E4" s="22">
        <v>0</v>
      </c>
      <c r="F4" s="27">
        <v>0</v>
      </c>
      <c r="I4" s="32">
        <v>45742.4375</v>
      </c>
      <c r="K4" s="25"/>
      <c r="L4" s="26"/>
      <c r="M4" s="24"/>
    </row>
    <row r="5" spans="1:13">
      <c r="E5" s="22">
        <v>0.5</v>
      </c>
      <c r="F5" s="27">
        <v>430000</v>
      </c>
      <c r="G5" s="27">
        <f>(F5-F4)/(E5-E4)</f>
        <v>860000</v>
      </c>
      <c r="H5" s="31">
        <v>8</v>
      </c>
      <c r="K5" s="25"/>
      <c r="L5" s="26"/>
      <c r="M5" s="24"/>
    </row>
    <row r="6" spans="1:13">
      <c r="E6" s="22">
        <v>1</v>
      </c>
      <c r="F6" s="27">
        <v>830000</v>
      </c>
      <c r="G6" s="27">
        <f t="shared" ref="G6:G39" si="0">(F6-F5)/(E6-E5)</f>
        <v>800000</v>
      </c>
      <c r="H6" s="31">
        <v>7.1</v>
      </c>
      <c r="K6" s="25"/>
      <c r="L6" s="26"/>
      <c r="M6" s="24"/>
    </row>
    <row r="7" spans="1:13">
      <c r="E7" s="22">
        <v>1.5</v>
      </c>
      <c r="F7" s="27">
        <v>1210000</v>
      </c>
      <c r="G7" s="27">
        <f t="shared" si="0"/>
        <v>760000</v>
      </c>
      <c r="H7" s="31">
        <v>6.7</v>
      </c>
      <c r="K7" s="25"/>
      <c r="L7" s="26"/>
      <c r="M7" s="24"/>
    </row>
    <row r="8" spans="1:13">
      <c r="E8" s="22">
        <v>2</v>
      </c>
      <c r="F8" s="27">
        <v>1580000</v>
      </c>
      <c r="G8" s="27">
        <f t="shared" si="0"/>
        <v>740000</v>
      </c>
      <c r="H8" s="31">
        <v>6.4</v>
      </c>
      <c r="K8" s="25"/>
      <c r="L8" s="26"/>
      <c r="M8" s="24"/>
    </row>
    <row r="9" spans="1:13">
      <c r="E9" s="22">
        <v>2.5</v>
      </c>
      <c r="F9" s="27">
        <v>1940000</v>
      </c>
      <c r="G9" s="27">
        <f t="shared" si="0"/>
        <v>720000</v>
      </c>
      <c r="H9" s="31">
        <v>6</v>
      </c>
      <c r="K9" s="25"/>
      <c r="L9" s="26"/>
      <c r="M9" s="24"/>
    </row>
    <row r="10" spans="1:13">
      <c r="E10" s="22">
        <v>3</v>
      </c>
      <c r="F10" s="27">
        <v>2280000</v>
      </c>
      <c r="G10" s="27">
        <f t="shared" si="0"/>
        <v>680000</v>
      </c>
      <c r="H10" s="31">
        <v>5.7</v>
      </c>
      <c r="K10" s="25"/>
      <c r="L10" s="26"/>
      <c r="M10" s="24"/>
    </row>
    <row r="11" spans="1:13">
      <c r="E11" s="22">
        <v>3.5</v>
      </c>
      <c r="F11" s="27">
        <v>2620000</v>
      </c>
      <c r="G11" s="27">
        <f t="shared" si="0"/>
        <v>680000</v>
      </c>
      <c r="H11" s="31">
        <v>5.4</v>
      </c>
      <c r="K11" s="25"/>
      <c r="L11" s="26"/>
      <c r="M11" s="24"/>
    </row>
    <row r="12" spans="1:13">
      <c r="E12" s="22">
        <v>4</v>
      </c>
      <c r="F12" s="27">
        <v>2930000</v>
      </c>
      <c r="G12" s="27">
        <f t="shared" si="0"/>
        <v>620000</v>
      </c>
      <c r="H12" s="31">
        <v>5.3</v>
      </c>
      <c r="K12" s="25"/>
      <c r="L12" s="26"/>
      <c r="M12" s="24"/>
    </row>
    <row r="13" spans="1:13">
      <c r="E13" s="22">
        <v>4.5</v>
      </c>
      <c r="F13" s="27">
        <v>3240000</v>
      </c>
      <c r="G13" s="27">
        <f t="shared" si="0"/>
        <v>620000</v>
      </c>
      <c r="H13" s="31">
        <v>5</v>
      </c>
      <c r="K13" s="25"/>
      <c r="L13" s="26"/>
      <c r="M13" s="24"/>
    </row>
    <row r="14" spans="1:13">
      <c r="E14" s="22">
        <v>5</v>
      </c>
      <c r="F14" s="27">
        <v>3540000</v>
      </c>
      <c r="G14" s="27">
        <f t="shared" si="0"/>
        <v>600000</v>
      </c>
      <c r="H14" s="31">
        <v>5</v>
      </c>
      <c r="K14" s="25"/>
      <c r="L14" s="26"/>
      <c r="M14" s="24"/>
    </row>
    <row r="15" spans="1:13">
      <c r="E15" s="22">
        <v>5.5</v>
      </c>
      <c r="F15" s="27">
        <v>3840000</v>
      </c>
      <c r="G15" s="27">
        <f t="shared" si="0"/>
        <v>600000</v>
      </c>
      <c r="H15" s="31">
        <v>4.9000000000000004</v>
      </c>
      <c r="K15" s="25"/>
      <c r="L15" s="26"/>
      <c r="M15" s="24"/>
    </row>
    <row r="16" spans="1:13">
      <c r="E16" s="22">
        <v>6</v>
      </c>
      <c r="F16" s="27">
        <v>4110000</v>
      </c>
      <c r="G16" s="27">
        <f t="shared" si="0"/>
        <v>540000</v>
      </c>
      <c r="H16" s="31">
        <v>4.5</v>
      </c>
      <c r="K16" s="25"/>
      <c r="L16" s="26"/>
      <c r="M16" s="24"/>
    </row>
    <row r="17" spans="1:13">
      <c r="E17" s="22">
        <v>6.5</v>
      </c>
      <c r="F17" s="27">
        <v>4380000</v>
      </c>
      <c r="G17" s="27">
        <f t="shared" si="0"/>
        <v>540000</v>
      </c>
      <c r="H17" s="31">
        <v>4.5</v>
      </c>
      <c r="K17" s="25"/>
      <c r="L17" s="26"/>
      <c r="M17" s="24"/>
    </row>
    <row r="18" spans="1:13">
      <c r="E18" s="22">
        <v>7</v>
      </c>
      <c r="F18" s="27">
        <v>4640000</v>
      </c>
      <c r="G18" s="27">
        <f t="shared" si="0"/>
        <v>520000</v>
      </c>
      <c r="H18" s="31">
        <v>4.25</v>
      </c>
      <c r="K18" s="25"/>
      <c r="L18" s="26"/>
      <c r="M18" s="24"/>
    </row>
    <row r="19" spans="1:13">
      <c r="E19" s="22">
        <v>7.5</v>
      </c>
      <c r="F19" s="27">
        <v>4900000</v>
      </c>
      <c r="G19" s="27">
        <f t="shared" si="0"/>
        <v>520000</v>
      </c>
      <c r="H19" s="31">
        <v>4.0999999999999996</v>
      </c>
      <c r="K19" s="25"/>
      <c r="L19" s="26"/>
      <c r="M19" s="24"/>
    </row>
    <row r="20" spans="1:13">
      <c r="E20" s="22">
        <v>8</v>
      </c>
      <c r="F20" s="27">
        <v>5140000</v>
      </c>
      <c r="G20" s="27">
        <f t="shared" si="0"/>
        <v>480000</v>
      </c>
      <c r="H20" s="31">
        <v>4</v>
      </c>
      <c r="K20" s="25"/>
      <c r="L20" s="26"/>
      <c r="M20" s="24"/>
    </row>
    <row r="21" spans="1:13">
      <c r="C21" s="31">
        <v>3.6</v>
      </c>
      <c r="D21" s="22">
        <v>9.5</v>
      </c>
      <c r="E21" s="22">
        <v>8.5</v>
      </c>
      <c r="F21" s="27">
        <v>5380000</v>
      </c>
      <c r="G21" s="27">
        <f t="shared" si="0"/>
        <v>480000</v>
      </c>
      <c r="H21" s="31">
        <v>4</v>
      </c>
      <c r="J21" s="27">
        <v>95</v>
      </c>
      <c r="K21" s="25">
        <f>G21*0.000000001/60</f>
        <v>7.9999999999999996E-6</v>
      </c>
      <c r="L21" s="36">
        <f>K21*(1+LN(C21/0.076))/(2*PI()*C21*D21)</f>
        <v>1.8085793599312037E-7</v>
      </c>
      <c r="M21" s="24"/>
    </row>
    <row r="22" spans="1:13">
      <c r="C22" s="31">
        <v>3.6</v>
      </c>
      <c r="D22" s="22">
        <v>9.5</v>
      </c>
      <c r="E22" s="22">
        <v>9</v>
      </c>
      <c r="F22" s="27">
        <v>5610000</v>
      </c>
      <c r="G22" s="27">
        <f t="shared" si="0"/>
        <v>460000</v>
      </c>
      <c r="H22" s="31">
        <v>3.9</v>
      </c>
      <c r="J22" s="27">
        <v>95</v>
      </c>
      <c r="K22" s="25">
        <f>G22*0.000000001/60</f>
        <v>7.6666666666666672E-6</v>
      </c>
      <c r="L22" s="36">
        <f>K22*(1+LN(C22/0.076))/(2*PI()*C22*D22)</f>
        <v>1.7332218866007371E-7</v>
      </c>
      <c r="M22" s="37">
        <f>AVERAGE(L21:L22)</f>
        <v>1.7709006232659702E-7</v>
      </c>
    </row>
    <row r="23" spans="1:13">
      <c r="A23" s="22" t="s">
        <v>9</v>
      </c>
      <c r="B23" s="22" t="s">
        <v>52</v>
      </c>
      <c r="C23" s="31">
        <f>9-6.5</f>
        <v>2.5</v>
      </c>
      <c r="E23" s="22">
        <v>0</v>
      </c>
      <c r="F23" s="27">
        <v>0</v>
      </c>
      <c r="H23" s="31">
        <v>9</v>
      </c>
      <c r="I23" s="32">
        <v>45742.447916666664</v>
      </c>
      <c r="K23" s="25"/>
      <c r="L23" s="26"/>
      <c r="M23" s="24"/>
    </row>
    <row r="24" spans="1:13">
      <c r="E24" s="22">
        <v>0.5</v>
      </c>
      <c r="F24" s="27">
        <v>110000</v>
      </c>
      <c r="G24" s="27">
        <f t="shared" si="0"/>
        <v>220000</v>
      </c>
      <c r="H24" s="31">
        <v>9</v>
      </c>
      <c r="K24" s="25"/>
      <c r="L24" s="26"/>
      <c r="M24" s="24"/>
    </row>
    <row r="25" spans="1:13">
      <c r="E25" s="22">
        <v>1</v>
      </c>
      <c r="F25" s="27">
        <v>120000</v>
      </c>
      <c r="G25" s="27">
        <f t="shared" si="0"/>
        <v>20000</v>
      </c>
      <c r="H25" s="31">
        <v>8.8000000000000007</v>
      </c>
      <c r="K25" s="25"/>
      <c r="L25" s="26"/>
      <c r="M25" s="24"/>
    </row>
    <row r="26" spans="1:13">
      <c r="E26" s="22">
        <v>2</v>
      </c>
      <c r="F26" s="27">
        <v>140000</v>
      </c>
      <c r="G26" s="27">
        <f t="shared" si="0"/>
        <v>20000</v>
      </c>
      <c r="H26" s="31">
        <v>8.8000000000000007</v>
      </c>
      <c r="K26" s="25"/>
      <c r="L26" s="26"/>
      <c r="M26" s="24"/>
    </row>
    <row r="27" spans="1:13">
      <c r="E27" s="22">
        <v>3</v>
      </c>
      <c r="F27" s="27">
        <v>150000</v>
      </c>
      <c r="G27" s="27">
        <f t="shared" si="0"/>
        <v>10000</v>
      </c>
      <c r="H27" s="31">
        <v>8.8000000000000007</v>
      </c>
      <c r="K27" s="25"/>
      <c r="L27" s="26"/>
      <c r="M27" s="24"/>
    </row>
    <row r="28" spans="1:13">
      <c r="E28" s="22">
        <v>4</v>
      </c>
      <c r="F28" s="27">
        <v>160000</v>
      </c>
      <c r="G28" s="27">
        <f t="shared" si="0"/>
        <v>10000</v>
      </c>
      <c r="H28" s="31">
        <v>8.8000000000000007</v>
      </c>
      <c r="K28" s="25"/>
      <c r="L28" s="26"/>
      <c r="M28" s="24"/>
    </row>
    <row r="29" spans="1:13">
      <c r="E29" s="22">
        <v>5</v>
      </c>
      <c r="F29" s="27">
        <v>170000</v>
      </c>
      <c r="G29" s="27">
        <f t="shared" si="0"/>
        <v>10000</v>
      </c>
      <c r="H29" s="31">
        <v>8.8000000000000007</v>
      </c>
      <c r="K29" s="25"/>
      <c r="L29" s="26"/>
      <c r="M29" s="24"/>
    </row>
    <row r="30" spans="1:13">
      <c r="E30" s="22">
        <v>6</v>
      </c>
      <c r="F30" s="27">
        <v>180000</v>
      </c>
      <c r="G30" s="27">
        <f t="shared" si="0"/>
        <v>10000</v>
      </c>
      <c r="H30" s="31">
        <v>8.8000000000000007</v>
      </c>
      <c r="K30" s="25"/>
      <c r="L30" s="26"/>
      <c r="M30" s="24"/>
    </row>
    <row r="31" spans="1:13">
      <c r="E31" s="22">
        <v>7</v>
      </c>
      <c r="F31" s="27">
        <v>200000</v>
      </c>
      <c r="G31" s="27">
        <f t="shared" si="0"/>
        <v>20000</v>
      </c>
      <c r="H31" s="31">
        <v>8.8000000000000007</v>
      </c>
      <c r="K31" s="25"/>
      <c r="L31" s="26"/>
      <c r="M31" s="24"/>
    </row>
    <row r="32" spans="1:13">
      <c r="E32" s="22">
        <v>8</v>
      </c>
      <c r="F32" s="27">
        <v>210000</v>
      </c>
      <c r="G32" s="27">
        <f t="shared" si="0"/>
        <v>10000</v>
      </c>
      <c r="H32" s="31">
        <v>8.8000000000000007</v>
      </c>
      <c r="K32" s="25"/>
      <c r="L32" s="26"/>
      <c r="M32" s="24"/>
    </row>
    <row r="33" spans="1:13">
      <c r="E33" s="22">
        <v>9</v>
      </c>
      <c r="F33" s="27">
        <v>220000</v>
      </c>
      <c r="G33" s="27">
        <f t="shared" si="0"/>
        <v>10000</v>
      </c>
      <c r="H33" s="31">
        <v>8.8000000000000007</v>
      </c>
      <c r="K33" s="25"/>
      <c r="L33" s="26"/>
      <c r="M33" s="24"/>
    </row>
    <row r="34" spans="1:13">
      <c r="E34" s="22">
        <v>10</v>
      </c>
      <c r="F34" s="27">
        <v>230000</v>
      </c>
      <c r="G34" s="27">
        <f t="shared" si="0"/>
        <v>10000</v>
      </c>
      <c r="H34" s="31">
        <v>8.8000000000000007</v>
      </c>
      <c r="K34" s="25"/>
      <c r="L34" s="26"/>
      <c r="M34" s="24"/>
    </row>
    <row r="35" spans="1:13">
      <c r="E35" s="22">
        <v>11</v>
      </c>
      <c r="F35" s="27">
        <v>240000</v>
      </c>
      <c r="G35" s="27">
        <f t="shared" si="0"/>
        <v>10000</v>
      </c>
      <c r="H35" s="31">
        <v>8.8000000000000007</v>
      </c>
      <c r="K35" s="25"/>
      <c r="L35" s="26"/>
      <c r="M35" s="24"/>
    </row>
    <row r="36" spans="1:13">
      <c r="E36" s="22">
        <v>12</v>
      </c>
      <c r="F36" s="27">
        <v>250000</v>
      </c>
      <c r="G36" s="27">
        <f t="shared" si="0"/>
        <v>10000</v>
      </c>
      <c r="H36" s="31">
        <v>8.6999999999999993</v>
      </c>
      <c r="K36" s="25"/>
      <c r="L36" s="26"/>
      <c r="M36" s="24"/>
    </row>
    <row r="37" spans="1:13">
      <c r="E37" s="22">
        <v>13</v>
      </c>
      <c r="F37" s="27">
        <v>260000</v>
      </c>
      <c r="G37" s="27">
        <f t="shared" si="0"/>
        <v>10000</v>
      </c>
      <c r="H37" s="31">
        <v>8.6999999999999993</v>
      </c>
      <c r="K37" s="25"/>
      <c r="L37" s="26"/>
      <c r="M37" s="24"/>
    </row>
    <row r="38" spans="1:13">
      <c r="C38" s="31">
        <v>2.5</v>
      </c>
      <c r="D38" s="22">
        <v>81.099999999999994</v>
      </c>
      <c r="E38" s="22">
        <v>14</v>
      </c>
      <c r="F38" s="27">
        <v>270000</v>
      </c>
      <c r="G38" s="27">
        <f t="shared" si="0"/>
        <v>10000</v>
      </c>
      <c r="H38" s="31">
        <v>8.6999999999999993</v>
      </c>
      <c r="J38" s="27">
        <v>811</v>
      </c>
      <c r="K38" s="25">
        <f t="shared" ref="K38:K39" si="1">G38*0.000000001/60</f>
        <v>1.6666666666666668E-7</v>
      </c>
      <c r="L38" s="36">
        <f t="shared" ref="L38:L39" si="2">K38*(1+LN(C38/0.076))/(2*PI()*C38*D38)</f>
        <v>5.8786101305273706E-10</v>
      </c>
      <c r="M38" s="24"/>
    </row>
    <row r="39" spans="1:13">
      <c r="C39" s="31">
        <v>2.5</v>
      </c>
      <c r="D39" s="22">
        <v>81.099999999999994</v>
      </c>
      <c r="E39" s="22">
        <v>15</v>
      </c>
      <c r="F39" s="27">
        <v>280000</v>
      </c>
      <c r="G39" s="27">
        <f t="shared" si="0"/>
        <v>10000</v>
      </c>
      <c r="H39" s="31">
        <v>8.6999999999999993</v>
      </c>
      <c r="J39" s="27">
        <v>811</v>
      </c>
      <c r="K39" s="25">
        <f t="shared" si="1"/>
        <v>1.6666666666666668E-7</v>
      </c>
      <c r="L39" s="36">
        <f t="shared" si="2"/>
        <v>5.8786101305273706E-10</v>
      </c>
      <c r="M39" s="37">
        <f>AVERAGE(L38:L39)</f>
        <v>5.8786101305273706E-10</v>
      </c>
    </row>
    <row r="40" spans="1:13">
      <c r="A40" s="22" t="s">
        <v>9</v>
      </c>
      <c r="B40" s="22" t="s">
        <v>53</v>
      </c>
      <c r="C40" s="31">
        <f>5.5-3</f>
        <v>2.5</v>
      </c>
      <c r="D40" s="22">
        <v>50</v>
      </c>
      <c r="E40" s="22">
        <v>0</v>
      </c>
      <c r="F40" s="27">
        <v>0</v>
      </c>
      <c r="I40" s="32">
        <v>45741.378472222219</v>
      </c>
    </row>
    <row r="41" spans="1:13">
      <c r="E41" s="22">
        <v>1</v>
      </c>
      <c r="F41" s="27">
        <v>1462</v>
      </c>
      <c r="G41" s="27">
        <f>(F41-F40)/(E41-E40)</f>
        <v>1462</v>
      </c>
    </row>
    <row r="42" spans="1:13">
      <c r="E42" s="22">
        <v>2</v>
      </c>
      <c r="F42" s="27">
        <v>2712</v>
      </c>
      <c r="G42" s="27">
        <f t="shared" ref="G42:G51" si="3">(F42-F41)/(E42-E41)</f>
        <v>1250</v>
      </c>
    </row>
    <row r="43" spans="1:13">
      <c r="E43" s="22">
        <v>3</v>
      </c>
      <c r="F43" s="27">
        <v>3924</v>
      </c>
      <c r="G43" s="27">
        <f t="shared" si="3"/>
        <v>1212</v>
      </c>
    </row>
    <row r="44" spans="1:13">
      <c r="E44" s="22">
        <v>4</v>
      </c>
      <c r="F44" s="27">
        <v>5070</v>
      </c>
      <c r="G44" s="27">
        <f t="shared" si="3"/>
        <v>1146</v>
      </c>
    </row>
    <row r="45" spans="1:13">
      <c r="E45" s="22">
        <v>5</v>
      </c>
      <c r="F45" s="27">
        <v>6160</v>
      </c>
      <c r="G45" s="27">
        <f t="shared" si="3"/>
        <v>1090</v>
      </c>
    </row>
    <row r="46" spans="1:13">
      <c r="E46" s="22">
        <v>6</v>
      </c>
      <c r="F46" s="27">
        <v>7207</v>
      </c>
      <c r="G46" s="27">
        <f t="shared" si="3"/>
        <v>1047</v>
      </c>
    </row>
    <row r="47" spans="1:13">
      <c r="E47" s="22">
        <v>9</v>
      </c>
      <c r="F47" s="27">
        <v>10274</v>
      </c>
      <c r="G47" s="27">
        <f t="shared" si="3"/>
        <v>1022.3333333333334</v>
      </c>
    </row>
    <row r="48" spans="1:13">
      <c r="E48" s="22">
        <v>10</v>
      </c>
      <c r="F48" s="27">
        <v>11300</v>
      </c>
      <c r="G48" s="27">
        <f t="shared" si="3"/>
        <v>1026</v>
      </c>
    </row>
    <row r="49" spans="1:13">
      <c r="E49" s="22">
        <v>20</v>
      </c>
      <c r="F49" s="27">
        <v>20406</v>
      </c>
      <c r="G49" s="27">
        <f t="shared" si="3"/>
        <v>910.6</v>
      </c>
    </row>
    <row r="50" spans="1:13">
      <c r="C50" s="31">
        <v>2.5</v>
      </c>
      <c r="D50" s="22">
        <v>49.2</v>
      </c>
      <c r="E50" s="22">
        <v>30</v>
      </c>
      <c r="F50" s="27">
        <v>29012</v>
      </c>
      <c r="G50" s="27">
        <f t="shared" si="3"/>
        <v>860.6</v>
      </c>
      <c r="J50" s="27">
        <v>492</v>
      </c>
      <c r="K50" s="25">
        <f t="shared" ref="K50:K51" si="4">G50*0.000000001/60</f>
        <v>1.4343333333333334E-8</v>
      </c>
      <c r="L50" s="36">
        <f t="shared" ref="L50:L51" si="5">K50*(1+LN(C50/0.076))/(2*PI()*C50*D50)</f>
        <v>8.3393413685510858E-11</v>
      </c>
    </row>
    <row r="51" spans="1:13">
      <c r="C51" s="31">
        <v>2.5</v>
      </c>
      <c r="D51" s="22">
        <v>49.2</v>
      </c>
      <c r="E51" s="22">
        <v>35</v>
      </c>
      <c r="F51" s="27">
        <v>33207</v>
      </c>
      <c r="G51" s="27">
        <f t="shared" si="3"/>
        <v>839</v>
      </c>
      <c r="J51" s="27">
        <v>492</v>
      </c>
      <c r="K51" s="25">
        <f t="shared" si="4"/>
        <v>1.3983333333333334E-8</v>
      </c>
      <c r="L51" s="36">
        <f t="shared" si="5"/>
        <v>8.1300341717573329E-11</v>
      </c>
      <c r="M51" s="37">
        <f>AVERAGE(L50:L51)</f>
        <v>8.2346877701542093E-11</v>
      </c>
    </row>
    <row r="52" spans="1:13">
      <c r="A52" s="1" t="s">
        <v>11</v>
      </c>
      <c r="B52" s="1" t="s">
        <v>54</v>
      </c>
      <c r="C52" s="31">
        <f>8.6-7.5</f>
        <v>1.0999999999999996</v>
      </c>
      <c r="D52" s="22">
        <v>100</v>
      </c>
      <c r="E52" s="22">
        <v>0</v>
      </c>
      <c r="F52" s="27">
        <v>0</v>
      </c>
      <c r="I52" s="32">
        <v>45741.413194444445</v>
      </c>
    </row>
    <row r="53" spans="1:13">
      <c r="E53" s="22">
        <v>1</v>
      </c>
      <c r="F53" s="27">
        <v>639</v>
      </c>
      <c r="G53" s="27">
        <f t="shared" ref="G53:G112" si="6">(F53-F52)/(E53-E52)</f>
        <v>639</v>
      </c>
    </row>
    <row r="54" spans="1:13">
      <c r="E54" s="22">
        <v>3</v>
      </c>
      <c r="F54" s="27">
        <v>1629</v>
      </c>
      <c r="G54" s="27">
        <f t="shared" si="6"/>
        <v>495</v>
      </c>
    </row>
    <row r="55" spans="1:13">
      <c r="E55" s="22">
        <v>4</v>
      </c>
      <c r="F55" s="27">
        <v>2065</v>
      </c>
      <c r="G55" s="27">
        <f t="shared" si="6"/>
        <v>436</v>
      </c>
    </row>
    <row r="56" spans="1:13">
      <c r="E56" s="22">
        <v>6</v>
      </c>
      <c r="F56" s="27">
        <v>2875</v>
      </c>
      <c r="G56" s="27">
        <f t="shared" si="6"/>
        <v>405</v>
      </c>
    </row>
    <row r="57" spans="1:13">
      <c r="E57" s="22">
        <v>10</v>
      </c>
      <c r="F57" s="27">
        <v>4420</v>
      </c>
      <c r="G57" s="27">
        <f t="shared" si="6"/>
        <v>386.25</v>
      </c>
    </row>
    <row r="58" spans="1:13">
      <c r="C58" s="31">
        <v>1.1000000000000001</v>
      </c>
      <c r="D58" s="22">
        <v>97.4</v>
      </c>
      <c r="E58" s="22">
        <v>20</v>
      </c>
      <c r="F58" s="27">
        <v>7858</v>
      </c>
      <c r="G58" s="27">
        <f t="shared" si="6"/>
        <v>343.8</v>
      </c>
      <c r="J58" s="27">
        <v>974</v>
      </c>
      <c r="K58" s="25">
        <f t="shared" ref="K58:K60" si="7">G58*0.000000001/60</f>
        <v>5.7300000000000007E-9</v>
      </c>
      <c r="L58" s="36">
        <f t="shared" ref="L58:L60" si="8">K58*(1+LN(C58/0.076))/(2*PI()*C58*D58)</f>
        <v>3.1258278957310726E-11</v>
      </c>
    </row>
    <row r="59" spans="1:13">
      <c r="C59" s="31">
        <v>1.1000000000000001</v>
      </c>
      <c r="D59" s="22">
        <v>97.4</v>
      </c>
      <c r="E59" s="22">
        <v>25</v>
      </c>
      <c r="F59" s="27">
        <v>9497</v>
      </c>
      <c r="G59" s="27">
        <f t="shared" si="6"/>
        <v>327.8</v>
      </c>
      <c r="J59" s="27">
        <v>974</v>
      </c>
      <c r="K59" s="25">
        <f t="shared" si="7"/>
        <v>5.4633333333333333E-9</v>
      </c>
      <c r="L59" s="36">
        <f t="shared" si="8"/>
        <v>2.9803559750455077E-11</v>
      </c>
    </row>
    <row r="60" spans="1:13">
      <c r="C60" s="31">
        <v>1.1000000000000001</v>
      </c>
      <c r="D60" s="22">
        <v>97.4</v>
      </c>
      <c r="E60" s="22">
        <v>30</v>
      </c>
      <c r="F60" s="27">
        <v>11125</v>
      </c>
      <c r="G60" s="27">
        <f t="shared" si="6"/>
        <v>325.60000000000002</v>
      </c>
      <c r="J60" s="27">
        <v>974</v>
      </c>
      <c r="K60" s="25">
        <f t="shared" si="7"/>
        <v>5.4266666666666678E-9</v>
      </c>
      <c r="L60" s="36">
        <f t="shared" si="8"/>
        <v>2.9603535859512432E-11</v>
      </c>
      <c r="M60" s="37">
        <f>AVERAGE(L58:L60)</f>
        <v>3.0221791522426078E-11</v>
      </c>
    </row>
    <row r="61" spans="1:13">
      <c r="A61" s="1" t="s">
        <v>11</v>
      </c>
      <c r="B61" s="1" t="s">
        <v>55</v>
      </c>
      <c r="C61" s="31">
        <f>6.5-5</f>
        <v>1.5</v>
      </c>
      <c r="D61" s="22">
        <v>100</v>
      </c>
      <c r="E61" s="22">
        <v>0</v>
      </c>
      <c r="F61" s="27">
        <v>0</v>
      </c>
      <c r="I61" s="32">
        <v>45741.44027777778</v>
      </c>
    </row>
    <row r="62" spans="1:13">
      <c r="E62" s="22">
        <v>1</v>
      </c>
      <c r="F62" s="27">
        <v>14700</v>
      </c>
      <c r="G62" s="27">
        <f t="shared" si="6"/>
        <v>14700</v>
      </c>
    </row>
    <row r="63" spans="1:13">
      <c r="E63" s="22">
        <v>2</v>
      </c>
      <c r="F63" s="27">
        <v>28037</v>
      </c>
      <c r="G63" s="27">
        <f t="shared" si="6"/>
        <v>13337</v>
      </c>
    </row>
    <row r="64" spans="1:13">
      <c r="E64" s="22">
        <v>3</v>
      </c>
      <c r="F64" s="27">
        <v>40902</v>
      </c>
      <c r="G64" s="27">
        <f t="shared" si="6"/>
        <v>12865</v>
      </c>
    </row>
    <row r="65" spans="1:13">
      <c r="E65" s="22">
        <v>4</v>
      </c>
      <c r="F65" s="27">
        <v>53123</v>
      </c>
      <c r="G65" s="27">
        <f t="shared" si="6"/>
        <v>12221</v>
      </c>
    </row>
    <row r="66" spans="1:13">
      <c r="E66" s="22">
        <v>5</v>
      </c>
      <c r="F66" s="27">
        <v>65311</v>
      </c>
      <c r="G66" s="27">
        <f t="shared" si="6"/>
        <v>12188</v>
      </c>
    </row>
    <row r="67" spans="1:13">
      <c r="C67" s="31">
        <v>1.5</v>
      </c>
      <c r="D67" s="22">
        <v>97.5</v>
      </c>
      <c r="E67" s="22">
        <v>6</v>
      </c>
      <c r="F67" s="27">
        <v>76608</v>
      </c>
      <c r="G67" s="27">
        <f t="shared" si="6"/>
        <v>11297</v>
      </c>
      <c r="J67" s="27">
        <v>975</v>
      </c>
      <c r="K67" s="25">
        <f t="shared" ref="K67:K71" si="9">G67*0.000000001/60</f>
        <v>1.8828333333333334E-7</v>
      </c>
      <c r="L67" s="36">
        <f t="shared" ref="L67:L71" si="10">K67*(1+LN(C67/0.076))/(2*PI()*C67*D67)</f>
        <v>8.1600065465217686E-10</v>
      </c>
    </row>
    <row r="68" spans="1:13">
      <c r="C68" s="31">
        <v>1.5</v>
      </c>
      <c r="D68" s="22">
        <v>97.5</v>
      </c>
      <c r="E68" s="22">
        <v>7</v>
      </c>
      <c r="F68" s="27">
        <v>88463</v>
      </c>
      <c r="G68" s="27">
        <f t="shared" si="6"/>
        <v>11855</v>
      </c>
      <c r="J68" s="27">
        <v>975</v>
      </c>
      <c r="K68" s="25">
        <f t="shared" si="9"/>
        <v>1.9758333333333335E-7</v>
      </c>
      <c r="L68" s="36">
        <f t="shared" si="10"/>
        <v>8.5630590076140202E-10</v>
      </c>
    </row>
    <row r="69" spans="1:13">
      <c r="C69" s="31">
        <v>1.5</v>
      </c>
      <c r="D69" s="22">
        <v>97.5</v>
      </c>
      <c r="E69" s="22">
        <v>8</v>
      </c>
      <c r="F69" s="27">
        <v>99807</v>
      </c>
      <c r="G69" s="27">
        <f t="shared" si="6"/>
        <v>11344</v>
      </c>
      <c r="J69" s="27">
        <v>975</v>
      </c>
      <c r="K69" s="25">
        <f t="shared" si="9"/>
        <v>1.8906666666666667E-7</v>
      </c>
      <c r="L69" s="36">
        <f t="shared" si="10"/>
        <v>8.1939554097320484E-10</v>
      </c>
    </row>
    <row r="70" spans="1:13">
      <c r="C70" s="31">
        <v>1.5</v>
      </c>
      <c r="D70" s="22">
        <v>97.5</v>
      </c>
      <c r="E70" s="22">
        <v>9</v>
      </c>
      <c r="F70" s="27">
        <v>111472</v>
      </c>
      <c r="G70" s="27">
        <f t="shared" si="6"/>
        <v>11665</v>
      </c>
      <c r="J70" s="27">
        <v>975</v>
      </c>
      <c r="K70" s="25">
        <f t="shared" si="9"/>
        <v>1.9441666666666667E-7</v>
      </c>
      <c r="L70" s="36">
        <f t="shared" si="10"/>
        <v>8.4258189222958701E-10</v>
      </c>
    </row>
    <row r="71" spans="1:13">
      <c r="C71" s="31">
        <v>1.5</v>
      </c>
      <c r="D71" s="22">
        <v>97.5</v>
      </c>
      <c r="E71" s="22">
        <v>11</v>
      </c>
      <c r="F71" s="27">
        <v>133507</v>
      </c>
      <c r="G71" s="27">
        <f t="shared" si="6"/>
        <v>11017.5</v>
      </c>
      <c r="J71" s="27">
        <v>975</v>
      </c>
      <c r="K71" s="25">
        <f t="shared" si="9"/>
        <v>1.83625E-7</v>
      </c>
      <c r="L71" s="36">
        <f t="shared" si="10"/>
        <v>7.9581191578563869E-10</v>
      </c>
      <c r="M71" s="37">
        <f>AVERAGE(L67:L71)</f>
        <v>8.260191808804018E-10</v>
      </c>
    </row>
    <row r="72" spans="1:13">
      <c r="A72" s="1" t="s">
        <v>11</v>
      </c>
      <c r="B72" s="1" t="s">
        <v>56</v>
      </c>
      <c r="C72" s="31">
        <f>4-2.5</f>
        <v>1.5</v>
      </c>
      <c r="D72" s="22">
        <v>50</v>
      </c>
      <c r="E72" s="22">
        <v>0</v>
      </c>
      <c r="F72" s="27">
        <v>0</v>
      </c>
      <c r="I72" s="32">
        <v>45741.531944444447</v>
      </c>
    </row>
    <row r="73" spans="1:13">
      <c r="E73" s="22">
        <v>1</v>
      </c>
      <c r="F73" s="27">
        <v>3420</v>
      </c>
      <c r="G73" s="27">
        <f t="shared" si="6"/>
        <v>3420</v>
      </c>
    </row>
    <row r="74" spans="1:13">
      <c r="E74" s="22">
        <v>2</v>
      </c>
      <c r="F74" s="27">
        <v>6937</v>
      </c>
      <c r="G74" s="27">
        <f t="shared" si="6"/>
        <v>3517</v>
      </c>
    </row>
    <row r="75" spans="1:13">
      <c r="E75" s="22">
        <v>3</v>
      </c>
      <c r="F75" s="27">
        <v>10460</v>
      </c>
      <c r="G75" s="27">
        <f t="shared" si="6"/>
        <v>3523</v>
      </c>
    </row>
    <row r="76" spans="1:13">
      <c r="E76" s="22">
        <v>4</v>
      </c>
      <c r="F76" s="27">
        <v>14057</v>
      </c>
      <c r="G76" s="27">
        <f t="shared" si="6"/>
        <v>3597</v>
      </c>
    </row>
    <row r="77" spans="1:13">
      <c r="E77" s="22">
        <v>5</v>
      </c>
      <c r="F77" s="27">
        <v>17720</v>
      </c>
      <c r="G77" s="27">
        <f t="shared" si="6"/>
        <v>3663</v>
      </c>
    </row>
    <row r="78" spans="1:13">
      <c r="E78" s="22">
        <v>6</v>
      </c>
      <c r="F78" s="27">
        <v>21476</v>
      </c>
      <c r="G78" s="27">
        <f t="shared" si="6"/>
        <v>3756</v>
      </c>
    </row>
    <row r="79" spans="1:13">
      <c r="E79" s="22">
        <v>7</v>
      </c>
      <c r="F79" s="27">
        <v>25126</v>
      </c>
      <c r="G79" s="27">
        <f t="shared" si="6"/>
        <v>3650</v>
      </c>
    </row>
    <row r="80" spans="1:13">
      <c r="C80" s="31">
        <v>1.5</v>
      </c>
      <c r="D80" s="22">
        <v>49.7</v>
      </c>
      <c r="E80" s="22">
        <v>8</v>
      </c>
      <c r="F80" s="27">
        <v>28941</v>
      </c>
      <c r="G80" s="27">
        <f t="shared" si="6"/>
        <v>3815</v>
      </c>
      <c r="I80" s="34" t="s">
        <v>57</v>
      </c>
      <c r="J80" s="27">
        <v>497</v>
      </c>
      <c r="K80" s="25">
        <f t="shared" ref="K80:K83" si="11">G80*0.000000001/60</f>
        <v>6.3583333333333337E-8</v>
      </c>
      <c r="L80" s="36">
        <f t="shared" ref="L80:L83" si="12">K80*(1+LN(C80/0.076))/(2*PI()*C80*D80)</f>
        <v>5.4059266372076908E-10</v>
      </c>
    </row>
    <row r="81" spans="1:13">
      <c r="C81" s="31">
        <v>1.5</v>
      </c>
      <c r="D81" s="22">
        <v>49.7</v>
      </c>
      <c r="E81" s="22">
        <v>10</v>
      </c>
      <c r="F81" s="27">
        <v>36760</v>
      </c>
      <c r="G81" s="27">
        <f t="shared" si="6"/>
        <v>3909.5</v>
      </c>
      <c r="I81" s="34" t="s">
        <v>58</v>
      </c>
      <c r="J81" s="27">
        <v>497</v>
      </c>
      <c r="K81" s="25">
        <f t="shared" si="11"/>
        <v>6.5158333333333336E-8</v>
      </c>
      <c r="L81" s="36">
        <f t="shared" si="12"/>
        <v>5.5398349117073304E-10</v>
      </c>
    </row>
    <row r="82" spans="1:13">
      <c r="C82" s="31">
        <v>1.5</v>
      </c>
      <c r="D82" s="22">
        <v>49.7</v>
      </c>
      <c r="E82" s="22">
        <v>12</v>
      </c>
      <c r="F82" s="27">
        <v>44529</v>
      </c>
      <c r="G82" s="27">
        <f t="shared" si="6"/>
        <v>3884.5</v>
      </c>
      <c r="J82" s="27">
        <v>497</v>
      </c>
      <c r="K82" s="25">
        <f t="shared" si="11"/>
        <v>6.4741666666666669E-8</v>
      </c>
      <c r="L82" s="36">
        <f t="shared" si="12"/>
        <v>5.5044094422629815E-10</v>
      </c>
    </row>
    <row r="83" spans="1:13">
      <c r="C83" s="31">
        <v>1.5</v>
      </c>
      <c r="D83" s="22">
        <v>49.7</v>
      </c>
      <c r="E83" s="22">
        <v>14</v>
      </c>
      <c r="F83" s="27">
        <v>52706</v>
      </c>
      <c r="G83" s="27">
        <f t="shared" si="6"/>
        <v>4088.5</v>
      </c>
      <c r="J83" s="27">
        <v>497</v>
      </c>
      <c r="K83" s="25">
        <f t="shared" si="11"/>
        <v>6.814166666666666E-8</v>
      </c>
      <c r="L83" s="36">
        <f t="shared" si="12"/>
        <v>5.7934812729288706E-10</v>
      </c>
      <c r="M83" s="37">
        <f>AVERAGE(L80:L83)</f>
        <v>5.5609130660267186E-10</v>
      </c>
    </row>
    <row r="84" spans="1:13">
      <c r="A84" s="1" t="s">
        <v>14</v>
      </c>
      <c r="B84" s="1" t="s">
        <v>59</v>
      </c>
      <c r="C84" s="31">
        <f>9.8-8</f>
        <v>1.8000000000000007</v>
      </c>
      <c r="D84" s="22">
        <v>100</v>
      </c>
      <c r="E84" s="22">
        <v>0</v>
      </c>
      <c r="I84" s="32">
        <v>45741.461805555555</v>
      </c>
    </row>
    <row r="85" spans="1:13">
      <c r="E85" s="22">
        <v>1</v>
      </c>
      <c r="F85" s="27">
        <v>326</v>
      </c>
      <c r="G85" s="27">
        <f t="shared" si="6"/>
        <v>326</v>
      </c>
    </row>
    <row r="86" spans="1:13">
      <c r="E86" s="22">
        <v>3</v>
      </c>
      <c r="F86" s="27">
        <v>762</v>
      </c>
      <c r="G86" s="27">
        <f t="shared" si="6"/>
        <v>218</v>
      </c>
    </row>
    <row r="87" spans="1:13">
      <c r="E87" s="22">
        <v>5</v>
      </c>
      <c r="F87" s="27">
        <v>1122</v>
      </c>
      <c r="G87" s="27">
        <f t="shared" si="6"/>
        <v>180</v>
      </c>
    </row>
    <row r="88" spans="1:13">
      <c r="E88" s="22">
        <v>13</v>
      </c>
      <c r="F88" s="27">
        <v>2362</v>
      </c>
      <c r="G88" s="27">
        <f t="shared" si="6"/>
        <v>155</v>
      </c>
    </row>
    <row r="89" spans="1:13">
      <c r="E89" s="22">
        <v>15</v>
      </c>
      <c r="F89" s="27">
        <v>2636</v>
      </c>
      <c r="G89" s="27">
        <f t="shared" si="6"/>
        <v>137</v>
      </c>
    </row>
    <row r="90" spans="1:13">
      <c r="E90" s="22">
        <v>20</v>
      </c>
      <c r="F90" s="27">
        <v>3269</v>
      </c>
      <c r="G90" s="27">
        <f t="shared" si="6"/>
        <v>126.6</v>
      </c>
    </row>
    <row r="91" spans="1:13">
      <c r="E91" s="22">
        <v>25</v>
      </c>
      <c r="F91" s="27">
        <v>3889</v>
      </c>
      <c r="G91" s="27">
        <f t="shared" si="6"/>
        <v>124</v>
      </c>
    </row>
    <row r="92" spans="1:13">
      <c r="C92" s="31">
        <v>1.8</v>
      </c>
      <c r="D92" s="22">
        <v>95.3</v>
      </c>
      <c r="E92" s="22">
        <v>30</v>
      </c>
      <c r="F92" s="27">
        <v>4427</v>
      </c>
      <c r="G92" s="27">
        <f t="shared" si="6"/>
        <v>107.6</v>
      </c>
      <c r="J92" s="27">
        <v>953</v>
      </c>
      <c r="K92" s="25">
        <f t="shared" ref="K92:K93" si="13">G92*0.000000001/60</f>
        <v>1.7933333333333333E-9</v>
      </c>
      <c r="L92" s="36">
        <f t="shared" ref="L92:L93" si="14">K92*(1+LN(C92/0.076))/(2*PI()*C92*D92)</f>
        <v>6.9296419386404335E-12</v>
      </c>
    </row>
    <row r="93" spans="1:13">
      <c r="C93" s="31">
        <v>1.8</v>
      </c>
      <c r="D93" s="22">
        <v>95.3</v>
      </c>
      <c r="E93" s="22">
        <v>35</v>
      </c>
      <c r="F93" s="27">
        <v>4931</v>
      </c>
      <c r="G93" s="27">
        <f t="shared" si="6"/>
        <v>100.8</v>
      </c>
      <c r="J93" s="27">
        <v>953</v>
      </c>
      <c r="K93" s="25">
        <f t="shared" si="13"/>
        <v>1.68E-9</v>
      </c>
      <c r="L93" s="36">
        <f t="shared" si="14"/>
        <v>6.4917091767189188E-12</v>
      </c>
      <c r="M93" s="37">
        <f>AVERAGE(L92:L93)</f>
        <v>6.7106755576796766E-12</v>
      </c>
    </row>
    <row r="94" spans="1:13">
      <c r="A94" s="1" t="s">
        <v>14</v>
      </c>
      <c r="B94" s="1" t="s">
        <v>60</v>
      </c>
      <c r="C94" s="31">
        <f>7.5-5.5</f>
        <v>2</v>
      </c>
      <c r="E94" s="22">
        <v>0</v>
      </c>
      <c r="F94" s="27">
        <v>0</v>
      </c>
      <c r="I94" s="32">
        <v>45742.458333333336</v>
      </c>
    </row>
    <row r="95" spans="1:13">
      <c r="A95" s="1"/>
      <c r="B95" s="1"/>
      <c r="E95" s="22">
        <v>0.5</v>
      </c>
      <c r="F95" s="27">
        <v>380000</v>
      </c>
      <c r="G95" s="27">
        <f t="shared" si="6"/>
        <v>760000</v>
      </c>
      <c r="H95" s="31">
        <v>8.5</v>
      </c>
    </row>
    <row r="96" spans="1:13">
      <c r="A96" s="1"/>
      <c r="B96" s="1"/>
      <c r="E96" s="22">
        <v>1</v>
      </c>
      <c r="F96" s="27">
        <v>760000</v>
      </c>
      <c r="G96" s="27">
        <f t="shared" si="6"/>
        <v>760000</v>
      </c>
      <c r="H96" s="31">
        <v>8.1999999999999993</v>
      </c>
    </row>
    <row r="97" spans="1:13">
      <c r="A97" s="1"/>
      <c r="B97" s="1"/>
      <c r="E97" s="22">
        <v>1.5</v>
      </c>
      <c r="F97" s="27">
        <v>1120000</v>
      </c>
      <c r="G97" s="27">
        <f t="shared" si="6"/>
        <v>720000</v>
      </c>
      <c r="H97" s="31">
        <v>8</v>
      </c>
    </row>
    <row r="98" spans="1:13">
      <c r="A98" s="1"/>
      <c r="B98" s="1"/>
      <c r="E98" s="22">
        <v>2</v>
      </c>
      <c r="F98" s="27">
        <v>1460000</v>
      </c>
      <c r="G98" s="27">
        <f t="shared" si="6"/>
        <v>680000</v>
      </c>
      <c r="H98" s="31">
        <v>7.6</v>
      </c>
    </row>
    <row r="99" spans="1:13">
      <c r="A99" s="1"/>
      <c r="B99" s="1"/>
      <c r="E99" s="22">
        <v>2.5</v>
      </c>
      <c r="F99" s="27">
        <v>1810000</v>
      </c>
      <c r="G99" s="27">
        <f t="shared" si="6"/>
        <v>700000</v>
      </c>
      <c r="H99" s="31">
        <v>7.4</v>
      </c>
    </row>
    <row r="100" spans="1:13">
      <c r="A100" s="1"/>
      <c r="B100" s="1"/>
      <c r="E100" s="22">
        <v>3</v>
      </c>
      <c r="F100" s="27">
        <v>2140000</v>
      </c>
      <c r="G100" s="27">
        <f t="shared" si="6"/>
        <v>660000</v>
      </c>
      <c r="H100" s="31">
        <v>7.3</v>
      </c>
    </row>
    <row r="101" spans="1:13">
      <c r="A101" s="1"/>
      <c r="B101" s="1"/>
      <c r="E101" s="22">
        <v>3.5</v>
      </c>
      <c r="F101" s="27">
        <v>2460000</v>
      </c>
      <c r="G101" s="27">
        <f t="shared" si="6"/>
        <v>640000</v>
      </c>
      <c r="H101" s="31">
        <v>7.1</v>
      </c>
    </row>
    <row r="102" spans="1:13">
      <c r="A102" s="1"/>
      <c r="B102" s="1"/>
      <c r="E102" s="22">
        <v>4</v>
      </c>
      <c r="F102" s="27">
        <v>2780000</v>
      </c>
      <c r="G102" s="27">
        <f t="shared" si="6"/>
        <v>640000</v>
      </c>
      <c r="H102" s="31">
        <v>7</v>
      </c>
    </row>
    <row r="103" spans="1:13">
      <c r="A103" s="1"/>
      <c r="B103" s="1"/>
      <c r="E103" s="22">
        <v>4.5</v>
      </c>
      <c r="F103" s="27">
        <v>3090000</v>
      </c>
      <c r="G103" s="27">
        <f t="shared" si="6"/>
        <v>620000</v>
      </c>
      <c r="H103" s="31">
        <v>6.7</v>
      </c>
    </row>
    <row r="104" spans="1:13">
      <c r="A104" s="1"/>
      <c r="B104" s="1"/>
      <c r="E104" s="22">
        <v>5</v>
      </c>
      <c r="F104" s="27">
        <v>3390000</v>
      </c>
      <c r="G104" s="27">
        <f t="shared" si="6"/>
        <v>600000</v>
      </c>
      <c r="H104" s="31">
        <v>6.6</v>
      </c>
    </row>
    <row r="105" spans="1:13">
      <c r="A105" s="1"/>
      <c r="B105" s="1"/>
      <c r="E105" s="22">
        <v>5.5</v>
      </c>
      <c r="F105" s="27">
        <v>3680000</v>
      </c>
      <c r="G105" s="27">
        <f t="shared" si="6"/>
        <v>580000</v>
      </c>
      <c r="H105" s="31">
        <v>6.4</v>
      </c>
    </row>
    <row r="106" spans="1:13">
      <c r="A106" s="1"/>
      <c r="B106" s="1"/>
      <c r="E106" s="22">
        <v>6</v>
      </c>
      <c r="F106" s="27">
        <v>3900000</v>
      </c>
      <c r="G106" s="27">
        <f t="shared" si="6"/>
        <v>440000</v>
      </c>
      <c r="H106" s="31">
        <v>6.4</v>
      </c>
    </row>
    <row r="107" spans="1:13">
      <c r="A107" s="1"/>
      <c r="B107" s="1"/>
      <c r="E107" s="22">
        <v>6.5</v>
      </c>
      <c r="F107" s="27">
        <v>3970000</v>
      </c>
      <c r="G107" s="27">
        <f t="shared" si="6"/>
        <v>140000</v>
      </c>
      <c r="H107" s="31">
        <v>6.4</v>
      </c>
    </row>
    <row r="108" spans="1:13">
      <c r="A108" s="1"/>
      <c r="B108" s="1"/>
      <c r="E108" s="22">
        <v>7</v>
      </c>
      <c r="F108" s="27">
        <v>3990000</v>
      </c>
      <c r="G108" s="27">
        <f t="shared" si="6"/>
        <v>40000</v>
      </c>
      <c r="H108" s="31">
        <v>6.4</v>
      </c>
    </row>
    <row r="109" spans="1:13">
      <c r="A109" s="1"/>
      <c r="B109" s="1"/>
      <c r="E109" s="22">
        <v>8</v>
      </c>
      <c r="F109" s="27">
        <v>4020000</v>
      </c>
      <c r="G109" s="27">
        <f t="shared" si="6"/>
        <v>30000</v>
      </c>
      <c r="H109" s="31">
        <v>6.4</v>
      </c>
    </row>
    <row r="110" spans="1:13">
      <c r="A110" s="1"/>
      <c r="B110" s="1"/>
      <c r="E110" s="22">
        <v>9</v>
      </c>
      <c r="F110" s="27">
        <v>4050000</v>
      </c>
      <c r="G110" s="27">
        <f t="shared" si="6"/>
        <v>30000</v>
      </c>
      <c r="H110" s="31">
        <v>6.4</v>
      </c>
    </row>
    <row r="111" spans="1:13">
      <c r="A111" s="1"/>
      <c r="B111" s="1"/>
      <c r="C111" s="31">
        <v>2</v>
      </c>
      <c r="D111" s="22">
        <v>57.6</v>
      </c>
      <c r="E111" s="22">
        <v>10</v>
      </c>
      <c r="F111" s="27">
        <v>4070000</v>
      </c>
      <c r="G111" s="27">
        <f t="shared" si="6"/>
        <v>20000</v>
      </c>
      <c r="H111" s="31">
        <v>6.4</v>
      </c>
      <c r="J111" s="27">
        <v>576</v>
      </c>
      <c r="K111" s="25">
        <f t="shared" ref="K111:K112" si="15">G111*0.000000001/60</f>
        <v>3.3333333333333335E-7</v>
      </c>
      <c r="L111" s="36">
        <f t="shared" ref="L111:L112" si="16">K111*(1+LN(C111/0.076))/(2*PI()*C111*D111)</f>
        <v>1.9664887823145773E-9</v>
      </c>
    </row>
    <row r="112" spans="1:13">
      <c r="A112" s="1"/>
      <c r="B112" s="1"/>
      <c r="C112" s="31">
        <v>2</v>
      </c>
      <c r="D112" s="22">
        <v>57.6</v>
      </c>
      <c r="E112" s="22">
        <v>11</v>
      </c>
      <c r="F112" s="27">
        <v>4090000</v>
      </c>
      <c r="G112" s="27">
        <f t="shared" si="6"/>
        <v>20000</v>
      </c>
      <c r="H112" s="31">
        <v>6.4</v>
      </c>
      <c r="J112" s="27">
        <v>576</v>
      </c>
      <c r="K112" s="25">
        <f t="shared" si="15"/>
        <v>3.3333333333333335E-7</v>
      </c>
      <c r="L112" s="36">
        <f t="shared" si="16"/>
        <v>1.9664887823145773E-9</v>
      </c>
      <c r="M112" s="37">
        <f>AVERAGE(L111:L112)</f>
        <v>1.9664887823145773E-9</v>
      </c>
    </row>
    <row r="113" spans="1:13">
      <c r="A113" s="1" t="s">
        <v>14</v>
      </c>
      <c r="B113" s="1" t="s">
        <v>61</v>
      </c>
      <c r="C113" s="31">
        <f>4.5-2</f>
        <v>2.5</v>
      </c>
      <c r="D113" s="22">
        <v>50</v>
      </c>
      <c r="E113" s="22">
        <v>0</v>
      </c>
      <c r="F113" s="27">
        <v>0</v>
      </c>
      <c r="I113" s="32">
        <v>45741.496527777781</v>
      </c>
    </row>
    <row r="114" spans="1:13">
      <c r="E114" s="22">
        <v>2</v>
      </c>
      <c r="F114" s="27">
        <v>342</v>
      </c>
      <c r="G114" s="27">
        <f t="shared" ref="G114:G177" si="17">(F114-F113)/(E114-E113)</f>
        <v>171</v>
      </c>
    </row>
    <row r="115" spans="1:13">
      <c r="E115" s="22">
        <v>4</v>
      </c>
      <c r="F115" s="27">
        <v>582</v>
      </c>
      <c r="G115" s="27">
        <f t="shared" si="17"/>
        <v>120</v>
      </c>
    </row>
    <row r="116" spans="1:13">
      <c r="E116" s="22">
        <v>5</v>
      </c>
      <c r="F116" s="27">
        <v>651</v>
      </c>
      <c r="G116" s="27">
        <f t="shared" si="17"/>
        <v>69</v>
      </c>
    </row>
    <row r="117" spans="1:13">
      <c r="E117" s="22">
        <v>10</v>
      </c>
      <c r="F117" s="27">
        <v>1055</v>
      </c>
      <c r="G117" s="27">
        <f t="shared" si="17"/>
        <v>80.8</v>
      </c>
    </row>
    <row r="118" spans="1:13">
      <c r="C118" s="31">
        <v>2.5</v>
      </c>
      <c r="D118" s="22">
        <v>46.9</v>
      </c>
      <c r="E118" s="22">
        <v>15</v>
      </c>
      <c r="F118" s="27">
        <v>1326</v>
      </c>
      <c r="G118" s="27">
        <f t="shared" si="17"/>
        <v>54.2</v>
      </c>
      <c r="J118" s="27">
        <v>469</v>
      </c>
      <c r="K118" s="25">
        <f t="shared" ref="K118:K120" si="18">G118*0.000000001/60</f>
        <v>9.0333333333333352E-10</v>
      </c>
      <c r="L118" s="36">
        <f t="shared" ref="L118:L120" si="19">K118*(1+LN(C118/0.076))/(2*PI()*C118*D118)</f>
        <v>5.5096239364496215E-12</v>
      </c>
    </row>
    <row r="119" spans="1:13">
      <c r="C119" s="31">
        <v>2.5</v>
      </c>
      <c r="D119" s="22">
        <v>46.9</v>
      </c>
      <c r="E119" s="22">
        <v>20</v>
      </c>
      <c r="F119" s="27">
        <v>1608</v>
      </c>
      <c r="G119" s="27">
        <f t="shared" si="17"/>
        <v>56.4</v>
      </c>
      <c r="J119" s="27">
        <v>469</v>
      </c>
      <c r="K119" s="25">
        <f t="shared" si="18"/>
        <v>9.4000000000000006E-10</v>
      </c>
      <c r="L119" s="36">
        <f t="shared" si="19"/>
        <v>5.7332618084088305E-12</v>
      </c>
    </row>
    <row r="120" spans="1:13">
      <c r="C120" s="31">
        <v>2.5</v>
      </c>
      <c r="D120" s="22">
        <v>46.9</v>
      </c>
      <c r="E120" s="22">
        <v>25</v>
      </c>
      <c r="F120" s="27">
        <v>1902</v>
      </c>
      <c r="G120" s="27">
        <f t="shared" si="17"/>
        <v>58.8</v>
      </c>
      <c r="J120" s="27">
        <v>469</v>
      </c>
      <c r="K120" s="25">
        <f t="shared" si="18"/>
        <v>9.8000000000000013E-10</v>
      </c>
      <c r="L120" s="36">
        <f t="shared" si="19"/>
        <v>5.9772303960006954E-12</v>
      </c>
      <c r="M120" s="37">
        <f>AVERAGE(L118:L120)</f>
        <v>5.7400387136197161E-12</v>
      </c>
    </row>
    <row r="121" spans="1:13">
      <c r="E121" s="22">
        <v>35</v>
      </c>
      <c r="F121" s="27">
        <v>2271</v>
      </c>
      <c r="G121" s="27">
        <f t="shared" si="17"/>
        <v>36.9</v>
      </c>
    </row>
    <row r="122" spans="1:13">
      <c r="E122" s="22">
        <v>40</v>
      </c>
      <c r="F122" s="27">
        <v>2611</v>
      </c>
      <c r="G122" s="27">
        <f t="shared" si="17"/>
        <v>68</v>
      </c>
    </row>
    <row r="123" spans="1:13">
      <c r="A123" s="1" t="s">
        <v>17</v>
      </c>
      <c r="B123" s="1" t="s">
        <v>62</v>
      </c>
      <c r="C123" s="31">
        <f>14.3-12.5</f>
        <v>1.8000000000000007</v>
      </c>
      <c r="D123" s="22">
        <v>50</v>
      </c>
      <c r="E123" s="22">
        <v>0</v>
      </c>
      <c r="F123" s="27">
        <v>0</v>
      </c>
      <c r="I123" s="32">
        <v>45741.552083333336</v>
      </c>
    </row>
    <row r="124" spans="1:13">
      <c r="E124" s="22">
        <v>1</v>
      </c>
      <c r="F124" s="27">
        <v>155</v>
      </c>
      <c r="G124" s="27">
        <f t="shared" si="17"/>
        <v>155</v>
      </c>
    </row>
    <row r="125" spans="1:13">
      <c r="E125" s="22">
        <v>2</v>
      </c>
      <c r="F125" s="27">
        <v>239</v>
      </c>
      <c r="G125" s="27">
        <f t="shared" si="17"/>
        <v>84</v>
      </c>
    </row>
    <row r="126" spans="1:13">
      <c r="E126" s="22">
        <v>4</v>
      </c>
      <c r="F126" s="27">
        <v>312</v>
      </c>
      <c r="G126" s="27">
        <f t="shared" si="17"/>
        <v>36.5</v>
      </c>
    </row>
    <row r="127" spans="1:13">
      <c r="E127" s="22">
        <v>6</v>
      </c>
      <c r="F127" s="27">
        <v>365</v>
      </c>
      <c r="G127" s="27">
        <f t="shared" si="17"/>
        <v>26.5</v>
      </c>
    </row>
    <row r="128" spans="1:13">
      <c r="E128" s="22">
        <v>8</v>
      </c>
      <c r="F128" s="27">
        <v>409</v>
      </c>
      <c r="G128" s="27">
        <f t="shared" si="17"/>
        <v>22</v>
      </c>
    </row>
    <row r="129" spans="1:13">
      <c r="E129" s="22">
        <v>10</v>
      </c>
      <c r="F129" s="27">
        <v>450</v>
      </c>
      <c r="G129" s="27">
        <f t="shared" si="17"/>
        <v>20.5</v>
      </c>
    </row>
    <row r="130" spans="1:13">
      <c r="E130" s="22">
        <v>12</v>
      </c>
      <c r="F130" s="27">
        <v>475</v>
      </c>
      <c r="G130" s="27">
        <f t="shared" si="17"/>
        <v>12.5</v>
      </c>
    </row>
    <row r="131" spans="1:13">
      <c r="E131" s="22">
        <v>14</v>
      </c>
      <c r="F131" s="27">
        <v>510</v>
      </c>
      <c r="G131" s="27">
        <f t="shared" si="17"/>
        <v>17.5</v>
      </c>
    </row>
    <row r="132" spans="1:13">
      <c r="C132" s="31">
        <v>1.8</v>
      </c>
      <c r="D132" s="22">
        <v>47.4</v>
      </c>
      <c r="E132" s="22">
        <v>16</v>
      </c>
      <c r="F132" s="27">
        <v>539</v>
      </c>
      <c r="G132" s="27">
        <f t="shared" si="17"/>
        <v>14.5</v>
      </c>
      <c r="J132" s="27">
        <v>474</v>
      </c>
      <c r="K132" s="25">
        <f t="shared" ref="K132:K135" si="20">G132*0.000000001/60</f>
        <v>2.4166666666666666E-10</v>
      </c>
      <c r="L132" s="36">
        <f t="shared" ref="L132:L135" si="21">K132*(1+LN(C132/0.076))/(2*PI()*C132*D132)</f>
        <v>1.8775049238683443E-12</v>
      </c>
    </row>
    <row r="133" spans="1:13">
      <c r="C133" s="31">
        <v>1.8</v>
      </c>
      <c r="D133" s="22">
        <v>47.4</v>
      </c>
      <c r="E133" s="22">
        <v>18</v>
      </c>
      <c r="F133" s="27">
        <v>570</v>
      </c>
      <c r="G133" s="27">
        <f t="shared" si="17"/>
        <v>15.5</v>
      </c>
      <c r="J133" s="27">
        <v>474</v>
      </c>
      <c r="K133" s="25">
        <f t="shared" si="20"/>
        <v>2.5833333333333332E-10</v>
      </c>
      <c r="L133" s="36">
        <f t="shared" si="21"/>
        <v>2.0069880220661606E-12</v>
      </c>
    </row>
    <row r="134" spans="1:13">
      <c r="C134" s="31">
        <v>1.8</v>
      </c>
      <c r="D134" s="22">
        <v>47.4</v>
      </c>
      <c r="E134" s="22">
        <v>20</v>
      </c>
      <c r="F134" s="27">
        <v>597</v>
      </c>
      <c r="G134" s="27">
        <f t="shared" si="17"/>
        <v>13.5</v>
      </c>
      <c r="J134" s="27">
        <v>474</v>
      </c>
      <c r="K134" s="25">
        <f t="shared" si="20"/>
        <v>2.25E-10</v>
      </c>
      <c r="L134" s="36">
        <f t="shared" si="21"/>
        <v>1.7480218256705271E-12</v>
      </c>
    </row>
    <row r="135" spans="1:13">
      <c r="C135" s="31">
        <v>1.8</v>
      </c>
      <c r="D135" s="22">
        <v>47.4</v>
      </c>
      <c r="E135" s="22">
        <v>22</v>
      </c>
      <c r="F135" s="27">
        <v>623</v>
      </c>
      <c r="G135" s="27">
        <f t="shared" si="17"/>
        <v>13</v>
      </c>
      <c r="J135" s="27">
        <v>474</v>
      </c>
      <c r="K135" s="25">
        <f t="shared" si="20"/>
        <v>2.1666666666666667E-10</v>
      </c>
      <c r="L135" s="36">
        <f t="shared" si="21"/>
        <v>1.6832802765716188E-12</v>
      </c>
      <c r="M135" s="37">
        <f>AVERAGE(L132:L135)</f>
        <v>1.8289487620441628E-12</v>
      </c>
    </row>
    <row r="136" spans="1:13">
      <c r="A136" s="1" t="s">
        <v>17</v>
      </c>
      <c r="B136" s="1" t="s">
        <v>63</v>
      </c>
      <c r="C136" s="31">
        <f>11.5-9</f>
        <v>2.5</v>
      </c>
      <c r="D136" s="22">
        <v>50</v>
      </c>
      <c r="E136" s="22">
        <v>0</v>
      </c>
      <c r="F136" s="27">
        <v>0</v>
      </c>
      <c r="I136" s="32">
        <v>45741.571527777778</v>
      </c>
    </row>
    <row r="137" spans="1:13">
      <c r="E137" s="22">
        <v>1</v>
      </c>
      <c r="F137" s="27">
        <v>771</v>
      </c>
      <c r="G137" s="27">
        <f t="shared" si="17"/>
        <v>771</v>
      </c>
    </row>
    <row r="138" spans="1:13">
      <c r="E138" s="22">
        <v>2</v>
      </c>
      <c r="F138" s="27">
        <v>1493</v>
      </c>
      <c r="G138" s="27">
        <f t="shared" si="17"/>
        <v>722</v>
      </c>
    </row>
    <row r="139" spans="1:13">
      <c r="E139" s="22">
        <v>3</v>
      </c>
      <c r="F139" s="27">
        <v>2142</v>
      </c>
      <c r="G139" s="27">
        <f t="shared" si="17"/>
        <v>649</v>
      </c>
    </row>
    <row r="140" spans="1:13">
      <c r="E140" s="22">
        <v>4</v>
      </c>
      <c r="F140" s="27">
        <v>2762</v>
      </c>
      <c r="G140" s="27">
        <f t="shared" si="17"/>
        <v>620</v>
      </c>
    </row>
    <row r="141" spans="1:13">
      <c r="E141" s="22">
        <v>5</v>
      </c>
      <c r="F141" s="27">
        <v>3312</v>
      </c>
      <c r="G141" s="27">
        <f t="shared" si="17"/>
        <v>550</v>
      </c>
    </row>
    <row r="142" spans="1:13">
      <c r="E142" s="22">
        <v>6</v>
      </c>
      <c r="F142" s="27">
        <v>3836</v>
      </c>
      <c r="G142" s="27">
        <f t="shared" si="17"/>
        <v>524</v>
      </c>
    </row>
    <row r="143" spans="1:13">
      <c r="E143" s="22">
        <v>7</v>
      </c>
      <c r="F143" s="27">
        <v>4372</v>
      </c>
      <c r="G143" s="27">
        <f t="shared" si="17"/>
        <v>536</v>
      </c>
    </row>
    <row r="144" spans="1:13">
      <c r="E144" s="22">
        <v>8</v>
      </c>
      <c r="F144" s="27">
        <v>4864</v>
      </c>
      <c r="G144" s="27">
        <f t="shared" si="17"/>
        <v>492</v>
      </c>
    </row>
    <row r="145" spans="1:13">
      <c r="C145" s="31">
        <v>2.5</v>
      </c>
      <c r="D145" s="22">
        <v>47.9</v>
      </c>
      <c r="E145" s="22">
        <v>9</v>
      </c>
      <c r="F145" s="27">
        <v>5308</v>
      </c>
      <c r="G145" s="27">
        <f t="shared" si="17"/>
        <v>444</v>
      </c>
      <c r="J145" s="27">
        <v>479</v>
      </c>
      <c r="K145" s="25">
        <f t="shared" ref="K145:K148" si="22">G145*0.000000001/60</f>
        <v>7.4000000000000001E-9</v>
      </c>
      <c r="L145" s="36">
        <f t="shared" ref="L145:L148" si="23">K145*(1+LN(C145/0.076))/(2*PI()*C145*D145)</f>
        <v>4.4191930067657985E-11</v>
      </c>
    </row>
    <row r="146" spans="1:13">
      <c r="C146" s="31">
        <v>2.5</v>
      </c>
      <c r="D146" s="22">
        <v>47.9</v>
      </c>
      <c r="E146" s="22">
        <v>10</v>
      </c>
      <c r="F146" s="27">
        <v>5782</v>
      </c>
      <c r="G146" s="27">
        <f t="shared" si="17"/>
        <v>474</v>
      </c>
      <c r="J146" s="27">
        <v>479</v>
      </c>
      <c r="K146" s="25">
        <f t="shared" si="22"/>
        <v>7.9000000000000013E-9</v>
      </c>
      <c r="L146" s="36">
        <f t="shared" si="23"/>
        <v>4.717787128844569E-11</v>
      </c>
    </row>
    <row r="147" spans="1:13">
      <c r="C147" s="31">
        <v>2.5</v>
      </c>
      <c r="D147" s="22">
        <v>47.9</v>
      </c>
      <c r="E147" s="22">
        <v>11</v>
      </c>
      <c r="F147" s="27">
        <v>6216</v>
      </c>
      <c r="G147" s="27">
        <f t="shared" si="17"/>
        <v>434</v>
      </c>
      <c r="J147" s="27">
        <v>479</v>
      </c>
      <c r="K147" s="25">
        <f t="shared" si="22"/>
        <v>7.2333333333333344E-9</v>
      </c>
      <c r="L147" s="36">
        <f t="shared" si="23"/>
        <v>4.3196616327395419E-11</v>
      </c>
    </row>
    <row r="148" spans="1:13">
      <c r="C148" s="31">
        <v>2.5</v>
      </c>
      <c r="D148" s="22">
        <v>47.9</v>
      </c>
      <c r="E148" s="22">
        <v>12</v>
      </c>
      <c r="F148" s="27">
        <v>6671</v>
      </c>
      <c r="G148" s="27">
        <f t="shared" si="17"/>
        <v>455</v>
      </c>
      <c r="J148" s="27">
        <v>479</v>
      </c>
      <c r="K148" s="25">
        <f t="shared" si="22"/>
        <v>7.5833333333333334E-9</v>
      </c>
      <c r="L148" s="36">
        <f t="shared" si="23"/>
        <v>4.5286775181946808E-11</v>
      </c>
      <c r="M148" s="37">
        <f>AVERAGE(L145:L148)</f>
        <v>4.496329821636148E-11</v>
      </c>
    </row>
    <row r="149" spans="1:13">
      <c r="A149" s="1" t="s">
        <v>17</v>
      </c>
      <c r="B149" s="1" t="s">
        <v>64</v>
      </c>
      <c r="C149" s="31">
        <f>8-5</f>
        <v>3</v>
      </c>
      <c r="D149" s="22">
        <v>50</v>
      </c>
      <c r="E149" s="22">
        <v>0</v>
      </c>
      <c r="F149" s="27">
        <v>0</v>
      </c>
      <c r="I149" s="32">
        <v>45741.581944444442</v>
      </c>
    </row>
    <row r="150" spans="1:13">
      <c r="E150" s="22">
        <v>1</v>
      </c>
      <c r="F150" s="27">
        <v>184</v>
      </c>
      <c r="G150" s="27">
        <f t="shared" si="17"/>
        <v>184</v>
      </c>
    </row>
    <row r="151" spans="1:13">
      <c r="E151" s="22">
        <v>2</v>
      </c>
      <c r="F151" s="27">
        <v>342</v>
      </c>
      <c r="G151" s="27">
        <f t="shared" si="17"/>
        <v>158</v>
      </c>
    </row>
    <row r="152" spans="1:13">
      <c r="E152" s="22">
        <v>3</v>
      </c>
      <c r="F152" s="27">
        <v>439</v>
      </c>
      <c r="G152" s="27">
        <f t="shared" si="17"/>
        <v>97</v>
      </c>
    </row>
    <row r="153" spans="1:13">
      <c r="E153" s="22">
        <v>4</v>
      </c>
      <c r="F153" s="27">
        <v>539</v>
      </c>
      <c r="G153" s="27">
        <f t="shared" si="17"/>
        <v>100</v>
      </c>
    </row>
    <row r="154" spans="1:13">
      <c r="E154" s="22">
        <v>5</v>
      </c>
      <c r="F154" s="27">
        <v>639</v>
      </c>
      <c r="G154" s="27">
        <f t="shared" si="17"/>
        <v>100</v>
      </c>
    </row>
    <row r="155" spans="1:13">
      <c r="E155" s="22">
        <v>6</v>
      </c>
      <c r="F155" s="27">
        <v>719</v>
      </c>
      <c r="G155" s="27">
        <f t="shared" si="17"/>
        <v>80</v>
      </c>
    </row>
    <row r="156" spans="1:13">
      <c r="C156" s="31">
        <v>3</v>
      </c>
      <c r="D156" s="22">
        <v>48</v>
      </c>
      <c r="E156" s="22">
        <v>7</v>
      </c>
      <c r="F156" s="27">
        <v>765</v>
      </c>
      <c r="G156" s="27">
        <f t="shared" si="17"/>
        <v>46</v>
      </c>
      <c r="J156" s="27">
        <v>480</v>
      </c>
      <c r="K156" s="25">
        <f t="shared" ref="K156" si="24">G156*0.000000001/60</f>
        <v>7.6666666666666671E-10</v>
      </c>
      <c r="L156" s="36">
        <f t="shared" ref="L156" si="25">K156*(1+LN(C156/0.076))/(2*PI()*C156*D156)</f>
        <v>3.9619113161148863E-12</v>
      </c>
    </row>
    <row r="157" spans="1:13">
      <c r="C157" s="31">
        <v>3</v>
      </c>
      <c r="D157" s="22">
        <v>48</v>
      </c>
      <c r="E157" s="22">
        <v>8</v>
      </c>
      <c r="F157" s="27">
        <v>819</v>
      </c>
      <c r="G157" s="27">
        <f t="shared" si="17"/>
        <v>54</v>
      </c>
      <c r="J157" s="27">
        <v>480</v>
      </c>
      <c r="K157" s="25">
        <f t="shared" ref="K157:K160" si="26">G157*0.000000001/60</f>
        <v>8.9999999999999999E-10</v>
      </c>
      <c r="L157" s="36">
        <f t="shared" ref="L157:L160" si="27">K157*(1+LN(C157/0.076))/(2*PI()*C157*D157)</f>
        <v>4.6509393710913883E-12</v>
      </c>
    </row>
    <row r="158" spans="1:13">
      <c r="C158" s="31">
        <v>3</v>
      </c>
      <c r="D158" s="22">
        <v>48</v>
      </c>
      <c r="E158" s="22">
        <v>10</v>
      </c>
      <c r="F158" s="27">
        <v>958</v>
      </c>
      <c r="G158" s="27">
        <f t="shared" si="17"/>
        <v>69.5</v>
      </c>
      <c r="J158" s="27">
        <v>480</v>
      </c>
      <c r="K158" s="25">
        <f t="shared" si="26"/>
        <v>1.1583333333333334E-9</v>
      </c>
      <c r="L158" s="36">
        <f t="shared" si="27"/>
        <v>5.9859312276083602E-12</v>
      </c>
    </row>
    <row r="159" spans="1:13">
      <c r="C159" s="31">
        <v>3</v>
      </c>
      <c r="D159" s="22">
        <v>48</v>
      </c>
      <c r="E159" s="22">
        <v>15</v>
      </c>
      <c r="F159" s="27">
        <v>1218</v>
      </c>
      <c r="G159" s="27">
        <f t="shared" si="17"/>
        <v>52</v>
      </c>
      <c r="J159" s="27">
        <v>480</v>
      </c>
      <c r="K159" s="25">
        <f t="shared" si="26"/>
        <v>8.6666666666666667E-10</v>
      </c>
      <c r="L159" s="36">
        <f t="shared" si="27"/>
        <v>4.478682357347262E-12</v>
      </c>
    </row>
    <row r="160" spans="1:13">
      <c r="C160" s="31">
        <v>3</v>
      </c>
      <c r="D160" s="22">
        <v>48</v>
      </c>
      <c r="E160" s="22">
        <v>26</v>
      </c>
      <c r="F160" s="27">
        <v>1650</v>
      </c>
      <c r="G160" s="27">
        <f t="shared" si="17"/>
        <v>39.272727272727273</v>
      </c>
      <c r="J160" s="27">
        <v>480</v>
      </c>
      <c r="K160" s="25">
        <f t="shared" si="26"/>
        <v>6.5454545454545464E-10</v>
      </c>
      <c r="L160" s="36">
        <f t="shared" si="27"/>
        <v>3.382501360793737E-12</v>
      </c>
      <c r="M160" s="37">
        <f>AVERAGE(L156:L160)</f>
        <v>4.4919931265911271E-12</v>
      </c>
    </row>
    <row r="161" spans="1:13">
      <c r="A161" s="1" t="s">
        <v>26</v>
      </c>
      <c r="B161" s="1" t="s">
        <v>65</v>
      </c>
      <c r="C161" s="31">
        <f>12-9.5</f>
        <v>2.5</v>
      </c>
      <c r="D161" s="22">
        <v>50</v>
      </c>
      <c r="E161" s="22">
        <v>0</v>
      </c>
      <c r="F161" s="27">
        <v>0</v>
      </c>
      <c r="I161" s="32">
        <v>45741.618750000001</v>
      </c>
    </row>
    <row r="162" spans="1:13">
      <c r="E162" s="22">
        <v>2</v>
      </c>
      <c r="F162" s="27">
        <v>489</v>
      </c>
      <c r="G162" s="27">
        <f t="shared" si="17"/>
        <v>244.5</v>
      </c>
    </row>
    <row r="163" spans="1:13">
      <c r="E163" s="22">
        <v>4</v>
      </c>
      <c r="F163" s="27">
        <v>865</v>
      </c>
      <c r="G163" s="27">
        <f t="shared" si="17"/>
        <v>188</v>
      </c>
    </row>
    <row r="164" spans="1:13">
      <c r="E164" s="22">
        <v>6</v>
      </c>
      <c r="F164" s="27">
        <v>1218</v>
      </c>
      <c r="G164" s="27">
        <f t="shared" si="17"/>
        <v>176.5</v>
      </c>
    </row>
    <row r="165" spans="1:13">
      <c r="E165" s="22">
        <v>10</v>
      </c>
      <c r="F165" s="27">
        <v>1787</v>
      </c>
      <c r="G165" s="27">
        <f t="shared" si="17"/>
        <v>142.25</v>
      </c>
    </row>
    <row r="166" spans="1:13">
      <c r="E166" s="22">
        <v>12</v>
      </c>
      <c r="F166" s="27">
        <v>2064</v>
      </c>
      <c r="G166" s="27">
        <f t="shared" si="17"/>
        <v>138.5</v>
      </c>
    </row>
    <row r="167" spans="1:13">
      <c r="C167" s="31">
        <v>2.5</v>
      </c>
      <c r="D167" s="22">
        <v>50</v>
      </c>
      <c r="E167" s="22">
        <v>14</v>
      </c>
      <c r="F167" s="27">
        <v>2312</v>
      </c>
      <c r="G167" s="27">
        <f t="shared" si="17"/>
        <v>124</v>
      </c>
      <c r="J167" s="35">
        <v>681</v>
      </c>
      <c r="K167" s="25">
        <f t="shared" ref="K167:K169" si="28">G167*0.000000001/60</f>
        <v>2.0666666666666666E-9</v>
      </c>
      <c r="L167" s="36">
        <f t="shared" ref="L167:L169" si="29">K167*(1+LN(C167/0.076))/(2*PI()*C167*D167)</f>
        <v>1.1823530983327088E-11</v>
      </c>
    </row>
    <row r="168" spans="1:13">
      <c r="C168" s="31">
        <v>2.5</v>
      </c>
      <c r="D168" s="22">
        <v>50</v>
      </c>
      <c r="E168" s="22">
        <v>18</v>
      </c>
      <c r="F168" s="27">
        <v>2817</v>
      </c>
      <c r="G168" s="27">
        <f t="shared" si="17"/>
        <v>126.25</v>
      </c>
      <c r="J168" s="35">
        <v>681</v>
      </c>
      <c r="K168" s="25">
        <f t="shared" si="28"/>
        <v>2.1041666666666669E-9</v>
      </c>
      <c r="L168" s="36">
        <f t="shared" si="29"/>
        <v>1.2038070860040687E-11</v>
      </c>
    </row>
    <row r="169" spans="1:13">
      <c r="C169" s="31">
        <v>2.5</v>
      </c>
      <c r="D169" s="22">
        <v>50</v>
      </c>
      <c r="E169" s="22">
        <v>20</v>
      </c>
      <c r="F169" s="27">
        <v>3034</v>
      </c>
      <c r="G169" s="27">
        <f t="shared" si="17"/>
        <v>108.5</v>
      </c>
      <c r="J169" s="35">
        <v>681</v>
      </c>
      <c r="K169" s="25">
        <f t="shared" si="28"/>
        <v>1.8083333333333336E-9</v>
      </c>
      <c r="L169" s="36">
        <f t="shared" si="29"/>
        <v>1.0345589610411204E-11</v>
      </c>
      <c r="M169" s="37">
        <f>AVERAGE(L167:L169)</f>
        <v>1.1402397151259662E-11</v>
      </c>
    </row>
    <row r="170" spans="1:13">
      <c r="A170" s="1" t="s">
        <v>26</v>
      </c>
      <c r="B170" s="1" t="s">
        <v>66</v>
      </c>
      <c r="C170" s="31">
        <f>8.5-6.5</f>
        <v>2</v>
      </c>
      <c r="D170" s="22">
        <v>50</v>
      </c>
      <c r="E170" s="22">
        <v>0</v>
      </c>
      <c r="F170" s="27">
        <v>0</v>
      </c>
      <c r="I170" s="32">
        <v>45741.636111111111</v>
      </c>
    </row>
    <row r="171" spans="1:13">
      <c r="E171" s="22">
        <v>1</v>
      </c>
      <c r="F171" s="27">
        <v>328</v>
      </c>
      <c r="G171" s="27">
        <f t="shared" si="17"/>
        <v>328</v>
      </c>
    </row>
    <row r="172" spans="1:13">
      <c r="E172" s="22">
        <v>3</v>
      </c>
      <c r="F172" s="27">
        <v>779</v>
      </c>
      <c r="G172" s="27">
        <f t="shared" si="17"/>
        <v>225.5</v>
      </c>
    </row>
    <row r="173" spans="1:13">
      <c r="E173" s="22">
        <v>4</v>
      </c>
      <c r="F173" s="27">
        <v>993</v>
      </c>
      <c r="G173" s="27">
        <f t="shared" si="17"/>
        <v>214</v>
      </c>
    </row>
    <row r="174" spans="1:13">
      <c r="E174" s="22">
        <v>5</v>
      </c>
      <c r="F174" s="27">
        <v>1195</v>
      </c>
      <c r="G174" s="27">
        <f t="shared" si="17"/>
        <v>202</v>
      </c>
    </row>
    <row r="175" spans="1:13">
      <c r="E175" s="22">
        <v>7</v>
      </c>
      <c r="F175" s="27">
        <v>1550</v>
      </c>
      <c r="G175" s="27">
        <f t="shared" si="17"/>
        <v>177.5</v>
      </c>
    </row>
    <row r="176" spans="1:13">
      <c r="E176" s="22">
        <v>9</v>
      </c>
      <c r="F176" s="27">
        <v>1953</v>
      </c>
      <c r="G176" s="27">
        <f t="shared" si="17"/>
        <v>201.5</v>
      </c>
    </row>
    <row r="177" spans="1:13">
      <c r="E177" s="22">
        <v>10</v>
      </c>
      <c r="F177" s="27">
        <v>2142</v>
      </c>
      <c r="G177" s="27">
        <f t="shared" si="17"/>
        <v>189</v>
      </c>
    </row>
    <row r="178" spans="1:13">
      <c r="C178" s="31">
        <v>2</v>
      </c>
      <c r="D178" s="22">
        <v>49.9</v>
      </c>
      <c r="E178" s="22">
        <v>15</v>
      </c>
      <c r="F178" s="27">
        <v>3018</v>
      </c>
      <c r="G178" s="27">
        <f t="shared" ref="G178:G226" si="30">(F178-F177)/(E178-E177)</f>
        <v>175.2</v>
      </c>
      <c r="J178" s="27">
        <v>499</v>
      </c>
      <c r="K178" s="25">
        <f t="shared" ref="K178:K180" si="31">G178*0.000000001/60</f>
        <v>2.9200000000000003E-9</v>
      </c>
      <c r="L178" s="36">
        <f t="shared" ref="L178:L180" si="32">K178*(1+LN(C178/0.076))/(2*PI()*C178*D178)</f>
        <v>1.9884630136776758E-11</v>
      </c>
    </row>
    <row r="179" spans="1:13">
      <c r="C179" s="31">
        <v>2</v>
      </c>
      <c r="D179" s="22">
        <v>49.9</v>
      </c>
      <c r="E179" s="22">
        <v>18</v>
      </c>
      <c r="F179" s="27">
        <v>3506</v>
      </c>
      <c r="G179" s="27">
        <f t="shared" si="30"/>
        <v>162.66666666666666</v>
      </c>
      <c r="J179" s="27">
        <v>499</v>
      </c>
      <c r="K179" s="25">
        <f t="shared" si="31"/>
        <v>2.7111111111111111E-9</v>
      </c>
      <c r="L179" s="36">
        <f t="shared" si="32"/>
        <v>1.8462137569914494E-11</v>
      </c>
    </row>
    <row r="180" spans="1:13">
      <c r="C180" s="31">
        <v>2</v>
      </c>
      <c r="D180" s="22">
        <v>49.9</v>
      </c>
      <c r="E180" s="22">
        <v>20</v>
      </c>
      <c r="F180" s="27">
        <v>3838</v>
      </c>
      <c r="G180" s="27">
        <f t="shared" si="30"/>
        <v>166</v>
      </c>
      <c r="J180" s="27">
        <v>499</v>
      </c>
      <c r="K180" s="25">
        <f t="shared" si="31"/>
        <v>2.7666666666666666E-9</v>
      </c>
      <c r="L180" s="36">
        <f t="shared" si="32"/>
        <v>1.8840460061101267E-11</v>
      </c>
      <c r="M180" s="37">
        <f>AVERAGE(L178:L180)</f>
        <v>1.9062409255930839E-11</v>
      </c>
    </row>
    <row r="181" spans="1:13">
      <c r="A181" s="1" t="s">
        <v>26</v>
      </c>
      <c r="B181" s="1" t="s">
        <v>53</v>
      </c>
      <c r="C181" s="31">
        <f>5.5-3</f>
        <v>2.5</v>
      </c>
      <c r="D181" s="22">
        <v>50</v>
      </c>
      <c r="E181" s="22">
        <v>0</v>
      </c>
      <c r="F181" s="27">
        <v>0</v>
      </c>
      <c r="I181" s="32">
        <v>45741.652777777781</v>
      </c>
    </row>
    <row r="182" spans="1:13">
      <c r="E182" s="22">
        <v>1</v>
      </c>
      <c r="F182" s="27">
        <v>214</v>
      </c>
      <c r="G182" s="27">
        <f t="shared" si="30"/>
        <v>214</v>
      </c>
    </row>
    <row r="183" spans="1:13">
      <c r="E183" s="22">
        <v>2</v>
      </c>
      <c r="F183" s="27">
        <v>393</v>
      </c>
      <c r="G183" s="27">
        <f t="shared" si="30"/>
        <v>179</v>
      </c>
    </row>
    <row r="184" spans="1:13">
      <c r="E184" s="22">
        <v>3</v>
      </c>
      <c r="F184" s="27">
        <v>552</v>
      </c>
      <c r="G184" s="27">
        <f t="shared" si="30"/>
        <v>159</v>
      </c>
    </row>
    <row r="185" spans="1:13">
      <c r="E185" s="22">
        <v>5</v>
      </c>
      <c r="F185" s="27">
        <v>802</v>
      </c>
      <c r="G185" s="27">
        <f t="shared" si="30"/>
        <v>125</v>
      </c>
    </row>
    <row r="186" spans="1:13">
      <c r="E186" s="22">
        <v>8</v>
      </c>
      <c r="F186" s="27">
        <v>1138</v>
      </c>
      <c r="G186" s="27">
        <f t="shared" si="30"/>
        <v>112</v>
      </c>
    </row>
    <row r="187" spans="1:13">
      <c r="E187" s="22">
        <v>10</v>
      </c>
      <c r="F187" s="27">
        <v>1355</v>
      </c>
      <c r="G187" s="27">
        <f t="shared" si="30"/>
        <v>108.5</v>
      </c>
    </row>
    <row r="188" spans="1:13">
      <c r="E188" s="22">
        <v>12</v>
      </c>
      <c r="F188" s="27">
        <v>1527</v>
      </c>
      <c r="G188" s="27">
        <f t="shared" si="30"/>
        <v>86</v>
      </c>
    </row>
    <row r="189" spans="1:13">
      <c r="E189" s="22">
        <v>15</v>
      </c>
      <c r="F189" s="27">
        <v>1795</v>
      </c>
      <c r="G189" s="27">
        <f t="shared" si="30"/>
        <v>89.333333333333329</v>
      </c>
    </row>
    <row r="190" spans="1:13">
      <c r="E190" s="22">
        <v>20</v>
      </c>
      <c r="F190" s="27">
        <v>2244</v>
      </c>
      <c r="G190" s="27">
        <f t="shared" si="30"/>
        <v>89.8</v>
      </c>
    </row>
    <row r="191" spans="1:13">
      <c r="C191" s="31">
        <v>2.5</v>
      </c>
      <c r="D191" s="22">
        <v>47.8</v>
      </c>
      <c r="E191" s="22">
        <v>52</v>
      </c>
      <c r="F191" s="27">
        <v>4302</v>
      </c>
      <c r="G191" s="27">
        <f t="shared" si="30"/>
        <v>64.3125</v>
      </c>
      <c r="J191" s="27">
        <v>478</v>
      </c>
      <c r="K191" s="25">
        <f t="shared" ref="K191:K192" si="33">G191*0.000000001/60</f>
        <v>1.0718750000000001E-9</v>
      </c>
      <c r="L191" s="36">
        <f t="shared" ref="L191:L192" si="34">K191*(1+LN(C191/0.076))/(2*PI()*C191*D191)</f>
        <v>6.4145029386997518E-12</v>
      </c>
    </row>
    <row r="192" spans="1:13">
      <c r="C192" s="31">
        <v>2.5</v>
      </c>
      <c r="D192" s="22">
        <v>47.8</v>
      </c>
      <c r="E192" s="22">
        <v>892</v>
      </c>
      <c r="F192" s="27">
        <v>40347</v>
      </c>
      <c r="G192" s="27">
        <f t="shared" si="30"/>
        <v>42.910714285714285</v>
      </c>
      <c r="J192" s="27">
        <v>478</v>
      </c>
      <c r="K192" s="25">
        <f t="shared" si="33"/>
        <v>7.1517857142857147E-10</v>
      </c>
      <c r="L192" s="36">
        <f t="shared" si="34"/>
        <v>4.2798974209900054E-12</v>
      </c>
      <c r="M192" s="37">
        <f>AVERAGE(L191:L192)</f>
        <v>5.347200179844879E-12</v>
      </c>
    </row>
    <row r="193" spans="1:13">
      <c r="A193" s="1" t="s">
        <v>21</v>
      </c>
      <c r="B193" s="1" t="s">
        <v>67</v>
      </c>
      <c r="C193" s="31">
        <f>10.8-8.5</f>
        <v>2.3000000000000007</v>
      </c>
      <c r="D193" s="22">
        <v>100</v>
      </c>
      <c r="E193" s="22">
        <v>0</v>
      </c>
      <c r="F193" s="27">
        <v>0</v>
      </c>
      <c r="I193" s="32">
        <v>45742.29583333333</v>
      </c>
    </row>
    <row r="194" spans="1:13">
      <c r="E194" s="22">
        <v>1</v>
      </c>
      <c r="F194" s="27">
        <v>553</v>
      </c>
      <c r="G194" s="27">
        <f t="shared" si="30"/>
        <v>553</v>
      </c>
    </row>
    <row r="195" spans="1:13">
      <c r="E195" s="22">
        <v>2</v>
      </c>
      <c r="F195" s="27">
        <v>1034</v>
      </c>
      <c r="G195" s="27">
        <f t="shared" si="30"/>
        <v>481</v>
      </c>
    </row>
    <row r="196" spans="1:13">
      <c r="E196" s="22">
        <v>3</v>
      </c>
      <c r="F196" s="27">
        <v>1458</v>
      </c>
      <c r="G196" s="27">
        <f t="shared" si="30"/>
        <v>424</v>
      </c>
    </row>
    <row r="197" spans="1:13">
      <c r="E197" s="22">
        <v>5</v>
      </c>
      <c r="F197" s="27">
        <v>2201</v>
      </c>
      <c r="G197" s="27">
        <f t="shared" si="30"/>
        <v>371.5</v>
      </c>
    </row>
    <row r="198" spans="1:13">
      <c r="E198" s="22">
        <v>7</v>
      </c>
      <c r="F198" s="27">
        <v>2884</v>
      </c>
      <c r="G198" s="27">
        <f t="shared" si="30"/>
        <v>341.5</v>
      </c>
    </row>
    <row r="199" spans="1:13">
      <c r="E199" s="22">
        <v>10</v>
      </c>
      <c r="F199" s="27">
        <v>3794</v>
      </c>
      <c r="G199" s="27">
        <f t="shared" si="30"/>
        <v>303.33333333333331</v>
      </c>
    </row>
    <row r="200" spans="1:13">
      <c r="E200" s="22">
        <v>12</v>
      </c>
      <c r="F200" s="27">
        <v>4338</v>
      </c>
      <c r="G200" s="27">
        <f t="shared" si="30"/>
        <v>272</v>
      </c>
    </row>
    <row r="201" spans="1:13">
      <c r="C201" s="31">
        <v>2.2999999999999998</v>
      </c>
      <c r="D201" s="22">
        <v>98</v>
      </c>
      <c r="E201" s="22">
        <v>15</v>
      </c>
      <c r="F201" s="27">
        <v>5113</v>
      </c>
      <c r="G201" s="27">
        <f t="shared" si="30"/>
        <v>258.33333333333331</v>
      </c>
      <c r="J201" s="27">
        <v>980</v>
      </c>
      <c r="K201" s="25">
        <f t="shared" ref="K201:K203" si="35">G201*0.000000001/60</f>
        <v>4.3055555555555555E-9</v>
      </c>
      <c r="L201" s="36">
        <f t="shared" ref="L201:L203" si="36">K201*(1+LN(C201/0.076))/(2*PI()*C201*D201)</f>
        <v>1.3406864427280221E-11</v>
      </c>
    </row>
    <row r="202" spans="1:13">
      <c r="C202" s="31">
        <v>2.2999999999999998</v>
      </c>
      <c r="D202" s="22">
        <v>98</v>
      </c>
      <c r="E202" s="22">
        <v>17</v>
      </c>
      <c r="F202" s="27">
        <v>5603</v>
      </c>
      <c r="G202" s="27">
        <f t="shared" si="30"/>
        <v>245</v>
      </c>
      <c r="J202" s="27">
        <v>980</v>
      </c>
      <c r="K202" s="25">
        <f t="shared" si="35"/>
        <v>4.0833333333333343E-9</v>
      </c>
      <c r="L202" s="36">
        <f t="shared" si="36"/>
        <v>1.2714897231033503E-11</v>
      </c>
    </row>
    <row r="203" spans="1:13">
      <c r="C203" s="31">
        <v>2.2999999999999998</v>
      </c>
      <c r="D203" s="22">
        <v>98</v>
      </c>
      <c r="E203" s="22">
        <v>20</v>
      </c>
      <c r="F203" s="27">
        <v>6291</v>
      </c>
      <c r="G203" s="27">
        <f t="shared" si="30"/>
        <v>229.33333333333334</v>
      </c>
      <c r="J203" s="27">
        <v>980</v>
      </c>
      <c r="K203" s="25">
        <f t="shared" si="35"/>
        <v>3.8222222222222228E-9</v>
      </c>
      <c r="L203" s="36">
        <f t="shared" si="36"/>
        <v>1.1901835775443604E-11</v>
      </c>
      <c r="M203" s="37">
        <f>AVERAGE(L201:L203)</f>
        <v>1.2674532477919109E-11</v>
      </c>
    </row>
    <row r="204" spans="1:13">
      <c r="A204" s="1" t="s">
        <v>21</v>
      </c>
      <c r="B204" s="1" t="s">
        <v>60</v>
      </c>
      <c r="C204" s="31">
        <f>7.5-5.5</f>
        <v>2</v>
      </c>
      <c r="D204" s="22">
        <v>100</v>
      </c>
      <c r="E204" s="22">
        <v>0</v>
      </c>
      <c r="F204" s="27">
        <v>0</v>
      </c>
      <c r="I204" s="32">
        <v>45742.313888888886</v>
      </c>
    </row>
    <row r="205" spans="1:13">
      <c r="E205" s="22">
        <v>1</v>
      </c>
      <c r="F205" s="27">
        <v>439</v>
      </c>
      <c r="G205" s="27">
        <f t="shared" si="30"/>
        <v>439</v>
      </c>
    </row>
    <row r="206" spans="1:13">
      <c r="E206" s="22">
        <v>2</v>
      </c>
      <c r="F206" s="27">
        <v>801</v>
      </c>
      <c r="G206" s="27">
        <f t="shared" si="30"/>
        <v>362</v>
      </c>
    </row>
    <row r="207" spans="1:13">
      <c r="E207" s="22">
        <v>3</v>
      </c>
      <c r="F207" s="27">
        <v>1143</v>
      </c>
      <c r="G207" s="27">
        <f t="shared" si="30"/>
        <v>342</v>
      </c>
    </row>
    <row r="208" spans="1:13">
      <c r="E208" s="22">
        <v>5</v>
      </c>
      <c r="F208" s="27">
        <v>1716</v>
      </c>
      <c r="G208" s="27">
        <f t="shared" si="30"/>
        <v>286.5</v>
      </c>
    </row>
    <row r="209" spans="1:13">
      <c r="E209" s="22">
        <v>7</v>
      </c>
      <c r="F209" s="27">
        <v>2249</v>
      </c>
      <c r="G209" s="27">
        <f t="shared" si="30"/>
        <v>266.5</v>
      </c>
    </row>
    <row r="210" spans="1:13">
      <c r="E210" s="22">
        <v>10</v>
      </c>
      <c r="F210" s="27">
        <v>2997</v>
      </c>
      <c r="G210" s="27">
        <f t="shared" si="30"/>
        <v>249.33333333333334</v>
      </c>
    </row>
    <row r="211" spans="1:13">
      <c r="E211" s="22">
        <v>12</v>
      </c>
      <c r="F211" s="27">
        <v>3471</v>
      </c>
      <c r="G211" s="27">
        <f t="shared" si="30"/>
        <v>237</v>
      </c>
    </row>
    <row r="212" spans="1:13">
      <c r="C212" s="31">
        <v>2</v>
      </c>
      <c r="D212" s="22">
        <v>98.3</v>
      </c>
      <c r="E212" s="22">
        <v>15</v>
      </c>
      <c r="F212" s="27">
        <v>4105</v>
      </c>
      <c r="G212" s="27">
        <f t="shared" si="30"/>
        <v>211.33333333333334</v>
      </c>
      <c r="J212" s="27">
        <v>983</v>
      </c>
      <c r="K212" s="25">
        <f t="shared" ref="K212:K214" si="37">G212*0.000000001/60</f>
        <v>3.5222222222222226E-9</v>
      </c>
      <c r="L212" s="36">
        <f t="shared" ref="L212:L214" si="38">K212*(1+LN(C212/0.076))/(2*PI()*C212*D212)</f>
        <v>1.2175826373020798E-11</v>
      </c>
    </row>
    <row r="213" spans="1:13">
      <c r="C213" s="31">
        <v>2</v>
      </c>
      <c r="D213" s="22">
        <v>98.3</v>
      </c>
      <c r="E213" s="22">
        <v>17</v>
      </c>
      <c r="F213" s="27">
        <v>4531</v>
      </c>
      <c r="G213" s="27">
        <f t="shared" si="30"/>
        <v>213</v>
      </c>
      <c r="J213" s="27">
        <v>983</v>
      </c>
      <c r="K213" s="25">
        <f t="shared" si="37"/>
        <v>3.5500000000000004E-9</v>
      </c>
      <c r="L213" s="36">
        <f t="shared" si="38"/>
        <v>1.2271850240315916E-11</v>
      </c>
    </row>
    <row r="214" spans="1:13">
      <c r="C214" s="31">
        <v>2</v>
      </c>
      <c r="D214" s="22">
        <v>98.3</v>
      </c>
      <c r="E214" s="22">
        <v>20</v>
      </c>
      <c r="F214" s="27">
        <v>5121</v>
      </c>
      <c r="G214" s="27">
        <f t="shared" si="30"/>
        <v>196.66666666666666</v>
      </c>
      <c r="J214" s="27">
        <v>983</v>
      </c>
      <c r="K214" s="25">
        <f t="shared" si="37"/>
        <v>3.2777777777777779E-9</v>
      </c>
      <c r="L214" s="36">
        <f t="shared" si="38"/>
        <v>1.1330816340823771E-11</v>
      </c>
      <c r="M214" s="37">
        <f>AVERAGE(L212:L214)</f>
        <v>1.1926164318053497E-11</v>
      </c>
    </row>
    <row r="215" spans="1:13">
      <c r="A215" s="1" t="s">
        <v>21</v>
      </c>
      <c r="B215" s="1" t="s">
        <v>61</v>
      </c>
      <c r="C215" s="31">
        <f>4.5-2</f>
        <v>2.5</v>
      </c>
      <c r="D215" s="22">
        <v>50</v>
      </c>
      <c r="E215" s="22">
        <v>0</v>
      </c>
      <c r="F215" s="27">
        <v>0</v>
      </c>
      <c r="I215" s="32">
        <v>45742.330555555556</v>
      </c>
    </row>
    <row r="216" spans="1:13">
      <c r="E216" s="22">
        <v>1</v>
      </c>
      <c r="F216" s="27">
        <v>1837</v>
      </c>
      <c r="G216" s="27">
        <f t="shared" si="30"/>
        <v>1837</v>
      </c>
    </row>
    <row r="217" spans="1:13">
      <c r="E217" s="22">
        <v>2</v>
      </c>
      <c r="F217" s="27">
        <v>3391</v>
      </c>
      <c r="G217" s="27">
        <f t="shared" si="30"/>
        <v>1554</v>
      </c>
    </row>
    <row r="218" spans="1:13">
      <c r="E218" s="22">
        <v>3</v>
      </c>
      <c r="F218" s="27">
        <v>4792</v>
      </c>
      <c r="G218" s="27">
        <f t="shared" si="30"/>
        <v>1401</v>
      </c>
    </row>
    <row r="219" spans="1:13">
      <c r="E219" s="22">
        <v>5</v>
      </c>
      <c r="F219" s="27">
        <v>7176</v>
      </c>
      <c r="G219" s="27">
        <f t="shared" si="30"/>
        <v>1192</v>
      </c>
    </row>
    <row r="220" spans="1:13">
      <c r="E220" s="22">
        <v>7</v>
      </c>
      <c r="F220" s="27">
        <v>9143</v>
      </c>
      <c r="G220" s="27">
        <f t="shared" si="30"/>
        <v>983.5</v>
      </c>
    </row>
    <row r="221" spans="1:13">
      <c r="E221" s="22">
        <v>10</v>
      </c>
      <c r="F221" s="27">
        <v>11651</v>
      </c>
      <c r="G221" s="27">
        <f t="shared" si="30"/>
        <v>836</v>
      </c>
    </row>
    <row r="222" spans="1:13">
      <c r="E222" s="22">
        <v>12</v>
      </c>
      <c r="F222" s="27">
        <v>13196</v>
      </c>
      <c r="G222" s="27">
        <f t="shared" si="30"/>
        <v>772.5</v>
      </c>
    </row>
    <row r="223" spans="1:13">
      <c r="E223" s="22">
        <v>15</v>
      </c>
      <c r="F223" s="27">
        <v>15281</v>
      </c>
      <c r="G223" s="27">
        <f t="shared" si="30"/>
        <v>695</v>
      </c>
    </row>
    <row r="224" spans="1:13">
      <c r="C224" s="31">
        <v>2.5</v>
      </c>
      <c r="D224" s="22">
        <v>49.3</v>
      </c>
      <c r="E224" s="22">
        <v>17</v>
      </c>
      <c r="F224" s="27">
        <v>16621</v>
      </c>
      <c r="G224" s="27">
        <f t="shared" si="30"/>
        <v>670</v>
      </c>
      <c r="J224" s="27">
        <v>493</v>
      </c>
      <c r="K224" s="25">
        <f t="shared" ref="K224:K226" si="39">G224*0.000000001/60</f>
        <v>1.1166666666666667E-8</v>
      </c>
      <c r="L224" s="36">
        <f t="shared" ref="L224:L226" si="40">K224*(1+LN(C224/0.076))/(2*PI()*C224*D224)</f>
        <v>6.4792299931534635E-11</v>
      </c>
    </row>
    <row r="225" spans="1:13">
      <c r="C225" s="31">
        <v>2.5</v>
      </c>
      <c r="D225" s="22">
        <v>49.3</v>
      </c>
      <c r="E225" s="22">
        <v>20</v>
      </c>
      <c r="F225" s="27">
        <v>18478</v>
      </c>
      <c r="G225" s="27">
        <f t="shared" si="30"/>
        <v>619</v>
      </c>
      <c r="J225" s="27">
        <v>493</v>
      </c>
      <c r="K225" s="25">
        <f t="shared" si="39"/>
        <v>1.0316666666666666E-8</v>
      </c>
      <c r="L225" s="36">
        <f t="shared" si="40"/>
        <v>5.9860348742716329E-11</v>
      </c>
    </row>
    <row r="226" spans="1:13">
      <c r="C226" s="31">
        <v>2.5</v>
      </c>
      <c r="D226" s="22">
        <v>49.3</v>
      </c>
      <c r="E226" s="22">
        <v>21</v>
      </c>
      <c r="F226" s="27">
        <v>19116</v>
      </c>
      <c r="G226" s="27">
        <f t="shared" si="30"/>
        <v>638</v>
      </c>
      <c r="J226" s="27">
        <v>493</v>
      </c>
      <c r="K226" s="25">
        <f t="shared" si="39"/>
        <v>1.0633333333333334E-8</v>
      </c>
      <c r="L226" s="36">
        <f t="shared" si="40"/>
        <v>6.1697742322864328E-11</v>
      </c>
      <c r="M226" s="37">
        <f>AVERAGE(L224:L226)</f>
        <v>6.2116796999038422E-11</v>
      </c>
    </row>
    <row r="227" spans="1:13">
      <c r="A227" s="1" t="s">
        <v>24</v>
      </c>
      <c r="B227" s="1" t="s">
        <v>68</v>
      </c>
      <c r="C227" s="31">
        <f>12.3-9.5</f>
        <v>2.8000000000000007</v>
      </c>
      <c r="I227" s="32" t="s">
        <v>69</v>
      </c>
    </row>
    <row r="228" spans="1:13">
      <c r="A228" s="1" t="s">
        <v>24</v>
      </c>
      <c r="B228" s="1" t="s">
        <v>52</v>
      </c>
      <c r="C228" s="31">
        <f>9-6.5</f>
        <v>2.5</v>
      </c>
      <c r="D228" s="22">
        <v>100</v>
      </c>
      <c r="E228" s="22">
        <v>0</v>
      </c>
      <c r="F228" s="27">
        <v>0</v>
      </c>
      <c r="I228" s="32">
        <v>45742.361805555556</v>
      </c>
    </row>
    <row r="229" spans="1:13">
      <c r="E229" s="22">
        <v>0.5</v>
      </c>
      <c r="F229" s="27">
        <v>6921</v>
      </c>
      <c r="G229" s="27">
        <f t="shared" ref="G229:G277" si="41">(F229-F228)/(E229-E228)</f>
        <v>13842</v>
      </c>
    </row>
    <row r="230" spans="1:13">
      <c r="E230" s="22">
        <v>1</v>
      </c>
      <c r="F230" s="27">
        <v>13775</v>
      </c>
      <c r="G230" s="27">
        <f t="shared" si="41"/>
        <v>13708</v>
      </c>
    </row>
    <row r="231" spans="1:13">
      <c r="E231" s="22">
        <v>2</v>
      </c>
      <c r="F231" s="27">
        <v>26661</v>
      </c>
      <c r="G231" s="27">
        <f t="shared" si="41"/>
        <v>12886</v>
      </c>
    </row>
    <row r="232" spans="1:13">
      <c r="E232" s="22">
        <v>3</v>
      </c>
      <c r="F232" s="27">
        <v>39321</v>
      </c>
      <c r="G232" s="27">
        <f t="shared" si="41"/>
        <v>12660</v>
      </c>
    </row>
    <row r="233" spans="1:13">
      <c r="E233" s="22">
        <v>4</v>
      </c>
      <c r="F233" s="27">
        <v>51537</v>
      </c>
      <c r="G233" s="27">
        <f t="shared" si="41"/>
        <v>12216</v>
      </c>
    </row>
    <row r="234" spans="1:13">
      <c r="E234" s="22">
        <v>0</v>
      </c>
      <c r="F234" s="27">
        <v>0</v>
      </c>
    </row>
    <row r="235" spans="1:13">
      <c r="E235" s="22">
        <v>0.5</v>
      </c>
      <c r="F235" s="27">
        <v>6020</v>
      </c>
      <c r="G235" s="27">
        <f t="shared" si="41"/>
        <v>12040</v>
      </c>
    </row>
    <row r="236" spans="1:13">
      <c r="E236" s="22">
        <v>1</v>
      </c>
      <c r="F236" s="27">
        <v>11620</v>
      </c>
      <c r="G236" s="27">
        <f t="shared" si="41"/>
        <v>11200</v>
      </c>
    </row>
    <row r="237" spans="1:13">
      <c r="C237" s="31">
        <v>2.5</v>
      </c>
      <c r="D237" s="22">
        <v>94.4</v>
      </c>
      <c r="E237" s="22">
        <v>4</v>
      </c>
      <c r="F237" s="27">
        <v>44161</v>
      </c>
      <c r="G237" s="27">
        <f t="shared" si="41"/>
        <v>10847</v>
      </c>
      <c r="J237" s="27">
        <v>944</v>
      </c>
      <c r="K237" s="25">
        <f t="shared" ref="K237:K238" si="42">G237*0.000000001/60</f>
        <v>1.8078333333333335E-7</v>
      </c>
      <c r="L237" s="36">
        <f t="shared" ref="L237:L238" si="43">K237*(1+LN(C237/0.076))/(2*PI()*C237*D237)</f>
        <v>5.4781404018653005E-10</v>
      </c>
    </row>
    <row r="238" spans="1:13">
      <c r="C238" s="31">
        <v>2.5</v>
      </c>
      <c r="D238" s="22">
        <v>94.4</v>
      </c>
      <c r="E238" s="22">
        <v>5</v>
      </c>
      <c r="F238" s="27">
        <v>54431</v>
      </c>
      <c r="G238" s="27">
        <f t="shared" si="41"/>
        <v>10270</v>
      </c>
      <c r="J238" s="27">
        <v>944</v>
      </c>
      <c r="K238" s="25">
        <f t="shared" si="42"/>
        <v>1.7116666666666667E-7</v>
      </c>
      <c r="L238" s="36">
        <f t="shared" si="43"/>
        <v>5.1867338367434899E-10</v>
      </c>
      <c r="M238" s="37">
        <f>AVERAGE(L237:L238)</f>
        <v>5.3324371193043947E-10</v>
      </c>
    </row>
    <row r="239" spans="1:13">
      <c r="A239" s="1" t="s">
        <v>24</v>
      </c>
      <c r="B239" s="1" t="s">
        <v>53</v>
      </c>
      <c r="C239" s="31">
        <f>5.5-3</f>
        <v>2.5</v>
      </c>
      <c r="D239" s="22">
        <v>50</v>
      </c>
      <c r="E239" s="22">
        <v>0</v>
      </c>
      <c r="F239" s="27">
        <v>0</v>
      </c>
      <c r="I239" s="32">
        <v>45742.377083333333</v>
      </c>
    </row>
    <row r="240" spans="1:13">
      <c r="E240" s="22">
        <v>1</v>
      </c>
      <c r="F240" s="27">
        <v>2496</v>
      </c>
      <c r="G240" s="27">
        <f t="shared" si="41"/>
        <v>2496</v>
      </c>
    </row>
    <row r="241" spans="1:13">
      <c r="E241" s="22">
        <v>2</v>
      </c>
      <c r="F241" s="27">
        <v>4801</v>
      </c>
      <c r="G241" s="27">
        <f t="shared" si="41"/>
        <v>2305</v>
      </c>
    </row>
    <row r="242" spans="1:13">
      <c r="E242" s="22">
        <v>3</v>
      </c>
      <c r="F242" s="27">
        <v>6901</v>
      </c>
      <c r="G242" s="27">
        <f t="shared" si="41"/>
        <v>2100</v>
      </c>
    </row>
    <row r="243" spans="1:13">
      <c r="E243" s="22">
        <v>5</v>
      </c>
      <c r="F243" s="27">
        <v>10621</v>
      </c>
      <c r="G243" s="27">
        <f t="shared" si="41"/>
        <v>1860</v>
      </c>
    </row>
    <row r="244" spans="1:13">
      <c r="E244" s="22">
        <v>7</v>
      </c>
      <c r="F244" s="27">
        <v>13706</v>
      </c>
      <c r="G244" s="27">
        <f t="shared" si="41"/>
        <v>1542.5</v>
      </c>
    </row>
    <row r="245" spans="1:13">
      <c r="E245" s="22">
        <v>10</v>
      </c>
      <c r="F245" s="27">
        <v>17705</v>
      </c>
      <c r="G245" s="27">
        <f t="shared" si="41"/>
        <v>1333</v>
      </c>
    </row>
    <row r="246" spans="1:13">
      <c r="E246" s="22">
        <v>12</v>
      </c>
      <c r="F246" s="27">
        <v>20102</v>
      </c>
      <c r="G246" s="27">
        <f t="shared" si="41"/>
        <v>1198.5</v>
      </c>
    </row>
    <row r="247" spans="1:13">
      <c r="E247" s="22">
        <v>15</v>
      </c>
      <c r="F247" s="27">
        <v>23361</v>
      </c>
      <c r="G247" s="27">
        <f t="shared" si="41"/>
        <v>1086.3333333333333</v>
      </c>
    </row>
    <row r="248" spans="1:13">
      <c r="C248" s="31">
        <v>2.5</v>
      </c>
      <c r="D248" s="22">
        <v>46.2</v>
      </c>
      <c r="E248" s="22">
        <v>17</v>
      </c>
      <c r="F248" s="27">
        <v>25391</v>
      </c>
      <c r="G248" s="27">
        <f t="shared" si="41"/>
        <v>1015</v>
      </c>
      <c r="J248" s="27">
        <v>462</v>
      </c>
      <c r="K248" s="25">
        <f t="shared" ref="K248:K249" si="44">G248*0.000000001/60</f>
        <v>1.6916666666666666E-8</v>
      </c>
      <c r="L248" s="36">
        <f t="shared" ref="L248:L249" si="45">K248*(1+LN(C248/0.076))/(2*PI()*C248*D248)</f>
        <v>1.0474169065141909E-10</v>
      </c>
    </row>
    <row r="249" spans="1:13">
      <c r="C249" s="31">
        <v>2.5</v>
      </c>
      <c r="D249" s="22">
        <v>46.2</v>
      </c>
      <c r="E249" s="22">
        <v>20</v>
      </c>
      <c r="F249" s="27">
        <v>28261</v>
      </c>
      <c r="G249" s="27">
        <f t="shared" si="41"/>
        <v>956.66666666666663</v>
      </c>
      <c r="J249" s="27">
        <v>462</v>
      </c>
      <c r="K249" s="25">
        <f t="shared" si="44"/>
        <v>1.5944444444444444E-8</v>
      </c>
      <c r="L249" s="36">
        <f t="shared" si="45"/>
        <v>9.8722053257659379E-11</v>
      </c>
      <c r="M249" s="37">
        <f>AVERAGE(L248:L249)</f>
        <v>1.0173187195453923E-10</v>
      </c>
    </row>
    <row r="250" spans="1:13">
      <c r="A250" s="1" t="s">
        <v>26</v>
      </c>
      <c r="B250" s="1" t="s">
        <v>65</v>
      </c>
      <c r="C250" s="31">
        <f>12-9.5</f>
        <v>2.5</v>
      </c>
      <c r="D250" s="22">
        <v>50</v>
      </c>
      <c r="E250" s="22">
        <v>0</v>
      </c>
      <c r="F250" s="27">
        <v>0</v>
      </c>
      <c r="I250" s="32">
        <v>45742.392361111109</v>
      </c>
    </row>
    <row r="251" spans="1:13">
      <c r="E251" s="22">
        <v>1</v>
      </c>
      <c r="F251" s="27">
        <v>66</v>
      </c>
      <c r="G251" s="27">
        <f t="shared" si="41"/>
        <v>66</v>
      </c>
    </row>
    <row r="252" spans="1:13">
      <c r="E252" s="22">
        <v>2</v>
      </c>
      <c r="F252" s="27">
        <v>150</v>
      </c>
      <c r="G252" s="27">
        <f t="shared" si="41"/>
        <v>84</v>
      </c>
    </row>
    <row r="253" spans="1:13">
      <c r="E253" s="22">
        <v>3</v>
      </c>
      <c r="F253" s="27">
        <v>293</v>
      </c>
      <c r="G253" s="27">
        <f t="shared" si="41"/>
        <v>143</v>
      </c>
    </row>
    <row r="254" spans="1:13">
      <c r="E254" s="22">
        <v>5</v>
      </c>
      <c r="F254" s="27">
        <v>530</v>
      </c>
      <c r="G254" s="27">
        <f t="shared" si="41"/>
        <v>118.5</v>
      </c>
    </row>
    <row r="255" spans="1:13">
      <c r="E255" s="22">
        <v>7</v>
      </c>
      <c r="F255" s="27">
        <v>721</v>
      </c>
      <c r="G255" s="27">
        <f t="shared" si="41"/>
        <v>95.5</v>
      </c>
    </row>
    <row r="256" spans="1:13">
      <c r="E256" s="22">
        <v>10</v>
      </c>
      <c r="F256" s="27">
        <v>1006</v>
      </c>
      <c r="G256" s="27">
        <f t="shared" si="41"/>
        <v>95</v>
      </c>
    </row>
    <row r="257" spans="1:13">
      <c r="C257" s="31">
        <v>2.5</v>
      </c>
      <c r="D257" s="22">
        <v>50</v>
      </c>
      <c r="E257" s="22">
        <v>12</v>
      </c>
      <c r="F257" s="27">
        <v>1173</v>
      </c>
      <c r="G257" s="27">
        <f t="shared" si="41"/>
        <v>83.5</v>
      </c>
      <c r="J257" s="35">
        <v>679</v>
      </c>
      <c r="K257" s="25">
        <f t="shared" ref="K257:K258" si="46">G257*0.000000001/60</f>
        <v>1.3916666666666667E-9</v>
      </c>
      <c r="L257" s="36">
        <f t="shared" ref="L257:L258" si="47">K257*(1+LN(C257/0.076))/(2*PI()*C257*D257)</f>
        <v>7.9618132024823551E-12</v>
      </c>
    </row>
    <row r="258" spans="1:13">
      <c r="C258" s="31">
        <v>2.5</v>
      </c>
      <c r="D258" s="22">
        <v>50</v>
      </c>
      <c r="E258" s="22">
        <v>15</v>
      </c>
      <c r="F258" s="27">
        <v>1438</v>
      </c>
      <c r="G258" s="27">
        <f t="shared" si="41"/>
        <v>88.333333333333329</v>
      </c>
      <c r="J258" s="35">
        <v>679</v>
      </c>
      <c r="K258" s="25">
        <f t="shared" si="46"/>
        <v>1.4722222222222222E-9</v>
      </c>
      <c r="L258" s="36">
        <f t="shared" si="47"/>
        <v>8.4226766413485995E-12</v>
      </c>
      <c r="M258" s="37">
        <f>AVERAGE(L257:L258)</f>
        <v>8.1922449219154781E-12</v>
      </c>
    </row>
    <row r="259" spans="1:13">
      <c r="E259" s="22">
        <v>17</v>
      </c>
      <c r="F259" s="27">
        <v>1642</v>
      </c>
      <c r="G259" s="27">
        <f t="shared" si="41"/>
        <v>102</v>
      </c>
    </row>
    <row r="260" spans="1:13">
      <c r="E260" s="22">
        <v>20</v>
      </c>
      <c r="F260" s="27">
        <v>1858</v>
      </c>
      <c r="G260" s="27">
        <f t="shared" si="41"/>
        <v>72</v>
      </c>
    </row>
    <row r="261" spans="1:13">
      <c r="A261" s="1" t="s">
        <v>26</v>
      </c>
      <c r="B261" s="1" t="s">
        <v>66</v>
      </c>
      <c r="C261" s="31">
        <f>8.5-6.5</f>
        <v>2</v>
      </c>
      <c r="D261" s="22">
        <v>50</v>
      </c>
      <c r="E261" s="22">
        <v>0</v>
      </c>
      <c r="F261" s="27">
        <v>0</v>
      </c>
      <c r="I261" s="32">
        <v>45742.409722222219</v>
      </c>
    </row>
    <row r="262" spans="1:13">
      <c r="E262" s="22">
        <v>1</v>
      </c>
      <c r="F262" s="27">
        <v>89</v>
      </c>
      <c r="G262" s="27">
        <f t="shared" si="41"/>
        <v>89</v>
      </c>
    </row>
    <row r="263" spans="1:13">
      <c r="E263" s="22">
        <v>2</v>
      </c>
      <c r="F263" s="27">
        <v>198</v>
      </c>
      <c r="G263" s="27">
        <f t="shared" si="41"/>
        <v>109</v>
      </c>
    </row>
    <row r="264" spans="1:13">
      <c r="E264" s="22">
        <v>3</v>
      </c>
      <c r="F264" s="27">
        <v>349</v>
      </c>
      <c r="G264" s="27">
        <f t="shared" si="41"/>
        <v>151</v>
      </c>
    </row>
    <row r="265" spans="1:13">
      <c r="E265" s="22">
        <v>5</v>
      </c>
      <c r="F265" s="27">
        <v>661</v>
      </c>
      <c r="G265" s="27">
        <f t="shared" si="41"/>
        <v>156</v>
      </c>
    </row>
    <row r="266" spans="1:13">
      <c r="E266" s="22">
        <v>7</v>
      </c>
      <c r="F266" s="27">
        <v>943</v>
      </c>
      <c r="G266" s="27">
        <f t="shared" si="41"/>
        <v>141</v>
      </c>
    </row>
    <row r="267" spans="1:13">
      <c r="E267" s="22">
        <v>10</v>
      </c>
      <c r="F267" s="27">
        <v>1351</v>
      </c>
      <c r="G267" s="27">
        <f t="shared" si="41"/>
        <v>136</v>
      </c>
    </row>
    <row r="268" spans="1:13">
      <c r="E268" s="22">
        <v>12</v>
      </c>
      <c r="F268" s="27">
        <v>1579</v>
      </c>
      <c r="G268" s="27">
        <f t="shared" si="41"/>
        <v>114</v>
      </c>
    </row>
    <row r="269" spans="1:13">
      <c r="E269" s="22">
        <v>15</v>
      </c>
      <c r="F269" s="27">
        <v>1938</v>
      </c>
      <c r="G269" s="27">
        <f t="shared" si="41"/>
        <v>119.66666666666667</v>
      </c>
    </row>
    <row r="270" spans="1:13">
      <c r="C270" s="31">
        <v>2</v>
      </c>
      <c r="D270" s="22">
        <v>49.8</v>
      </c>
      <c r="E270" s="22">
        <v>17</v>
      </c>
      <c r="F270" s="27">
        <v>2143</v>
      </c>
      <c r="G270" s="27">
        <f t="shared" si="41"/>
        <v>102.5</v>
      </c>
      <c r="J270" s="27">
        <v>498</v>
      </c>
      <c r="K270" s="25">
        <f t="shared" ref="K270:K271" si="48">G270*0.000000001/60</f>
        <v>1.7083333333333335E-9</v>
      </c>
      <c r="L270" s="36">
        <f t="shared" ref="L270:L271" si="49">K270*(1+LN(C270/0.076))/(2*PI()*C270*D270)</f>
        <v>1.165677687829846E-11</v>
      </c>
    </row>
    <row r="271" spans="1:13">
      <c r="C271" s="31">
        <v>2</v>
      </c>
      <c r="D271" s="22">
        <v>49.8</v>
      </c>
      <c r="E271" s="22">
        <v>20</v>
      </c>
      <c r="F271" s="27">
        <v>2484</v>
      </c>
      <c r="G271" s="27">
        <f t="shared" si="41"/>
        <v>113.66666666666667</v>
      </c>
      <c r="J271" s="27">
        <v>498</v>
      </c>
      <c r="K271" s="25">
        <f t="shared" si="48"/>
        <v>1.8944444444444446E-9</v>
      </c>
      <c r="L271" s="36">
        <f t="shared" si="49"/>
        <v>1.2926702164226911E-11</v>
      </c>
      <c r="M271" s="37">
        <f>AVERAGE(L270:L271)</f>
        <v>1.2291739521262685E-11</v>
      </c>
    </row>
    <row r="272" spans="1:13">
      <c r="A272" s="1" t="s">
        <v>26</v>
      </c>
      <c r="B272" s="1" t="s">
        <v>53</v>
      </c>
      <c r="C272" s="31">
        <f>5.5-3</f>
        <v>2.5</v>
      </c>
      <c r="D272" s="22">
        <v>50</v>
      </c>
      <c r="E272" s="22">
        <v>0</v>
      </c>
      <c r="F272" s="27">
        <v>0</v>
      </c>
      <c r="I272" s="32">
        <v>45742.426388888889</v>
      </c>
    </row>
    <row r="273" spans="1:13">
      <c r="E273" s="22">
        <v>1</v>
      </c>
      <c r="F273" s="27">
        <v>63</v>
      </c>
      <c r="G273" s="27">
        <f t="shared" si="41"/>
        <v>63</v>
      </c>
    </row>
    <row r="274" spans="1:13">
      <c r="E274" s="22">
        <v>3</v>
      </c>
      <c r="F274" s="27">
        <v>186</v>
      </c>
      <c r="G274" s="27">
        <f t="shared" si="41"/>
        <v>61.5</v>
      </c>
    </row>
    <row r="275" spans="1:13">
      <c r="E275" s="22">
        <v>5</v>
      </c>
      <c r="F275" s="27">
        <v>314</v>
      </c>
      <c r="G275" s="27">
        <f t="shared" si="41"/>
        <v>64</v>
      </c>
    </row>
    <row r="276" spans="1:13">
      <c r="C276" s="31">
        <v>2.5</v>
      </c>
      <c r="D276" s="22">
        <v>47.8</v>
      </c>
      <c r="E276" s="22">
        <v>7</v>
      </c>
      <c r="F276" s="27">
        <v>395</v>
      </c>
      <c r="G276" s="27">
        <f t="shared" si="41"/>
        <v>40.5</v>
      </c>
      <c r="J276" s="27">
        <v>478</v>
      </c>
      <c r="K276" s="25">
        <f t="shared" ref="K276:K277" si="50">G276*0.000000001/60</f>
        <v>6.7500000000000005E-10</v>
      </c>
      <c r="L276" s="36">
        <f t="shared" ref="L276:L277" si="51">K276*(1+LN(C276/0.076))/(2*PI()*C276*D276)</f>
        <v>4.0394537456534885E-12</v>
      </c>
    </row>
    <row r="277" spans="1:13">
      <c r="C277" s="31">
        <v>2.5</v>
      </c>
      <c r="D277" s="22">
        <v>47.8</v>
      </c>
      <c r="E277" s="22">
        <v>70</v>
      </c>
      <c r="F277" s="27">
        <v>2964</v>
      </c>
      <c r="G277" s="27">
        <f t="shared" si="41"/>
        <v>40.777777777777779</v>
      </c>
      <c r="J277" s="27">
        <v>478</v>
      </c>
      <c r="K277" s="25">
        <f t="shared" si="50"/>
        <v>6.7962962962962964E-10</v>
      </c>
      <c r="L277" s="36">
        <f t="shared" si="51"/>
        <v>4.0671591897251859E-12</v>
      </c>
      <c r="M277" s="37">
        <f>AVERAGE(L276:L277)</f>
        <v>4.0533064676893372E-12</v>
      </c>
    </row>
    <row r="278" spans="1:13">
      <c r="A278" s="1" t="s">
        <v>19</v>
      </c>
      <c r="B278" s="1" t="s">
        <v>70</v>
      </c>
      <c r="C278" s="31">
        <f>15.7-14</f>
        <v>1.6999999999999993</v>
      </c>
      <c r="I278" s="32" t="s">
        <v>71</v>
      </c>
    </row>
    <row r="279" spans="1:13">
      <c r="A279" s="1" t="s">
        <v>19</v>
      </c>
      <c r="B279" s="1" t="s">
        <v>72</v>
      </c>
      <c r="C279" s="31">
        <f>13-10.5</f>
        <v>2.5</v>
      </c>
      <c r="I279" s="32" t="s">
        <v>73</v>
      </c>
    </row>
    <row r="280" spans="1:13">
      <c r="A280" s="42" t="s">
        <v>19</v>
      </c>
      <c r="B280" s="42" t="s">
        <v>74</v>
      </c>
      <c r="C280" s="43">
        <f>9.5-8</f>
        <v>1.5</v>
      </c>
      <c r="D280" s="44"/>
      <c r="E280" s="44"/>
      <c r="F280" s="45"/>
      <c r="G280" s="45"/>
      <c r="H280" s="43"/>
      <c r="I280" s="46"/>
      <c r="J280" s="45"/>
      <c r="K280" s="44"/>
      <c r="L280" s="44"/>
      <c r="M280" s="44"/>
    </row>
    <row r="281" spans="1:13">
      <c r="A281" s="1" t="s">
        <v>24</v>
      </c>
      <c r="B281" s="1" t="s">
        <v>68</v>
      </c>
      <c r="C281" s="31">
        <f>12.3-9.5</f>
        <v>2.8000000000000007</v>
      </c>
      <c r="D281" s="22">
        <v>50</v>
      </c>
      <c r="E281" s="22">
        <v>0</v>
      </c>
      <c r="F281" s="27">
        <v>0</v>
      </c>
      <c r="I281" s="32">
        <v>45755.388194444444</v>
      </c>
    </row>
    <row r="282" spans="1:13">
      <c r="E282" s="22">
        <v>1</v>
      </c>
      <c r="F282" s="27">
        <v>9927</v>
      </c>
      <c r="G282" s="27">
        <f t="shared" ref="G282:G338" si="52">(F282-F281)/(E282-E281)</f>
        <v>9927</v>
      </c>
    </row>
    <row r="283" spans="1:13">
      <c r="E283" s="22">
        <v>2</v>
      </c>
      <c r="F283" s="27">
        <v>16920</v>
      </c>
      <c r="G283" s="27">
        <f t="shared" si="52"/>
        <v>6993</v>
      </c>
    </row>
    <row r="284" spans="1:13">
      <c r="E284" s="22">
        <v>3</v>
      </c>
      <c r="F284" s="27">
        <v>22670</v>
      </c>
      <c r="G284" s="27">
        <f t="shared" si="52"/>
        <v>5750</v>
      </c>
    </row>
    <row r="285" spans="1:13">
      <c r="E285" s="22">
        <v>4</v>
      </c>
      <c r="F285" s="27">
        <v>27728</v>
      </c>
      <c r="G285" s="27">
        <f t="shared" si="52"/>
        <v>5058</v>
      </c>
    </row>
    <row r="286" spans="1:13">
      <c r="E286" s="22">
        <v>9</v>
      </c>
      <c r="F286" s="27">
        <v>53257</v>
      </c>
      <c r="G286" s="27">
        <f t="shared" si="52"/>
        <v>5105.8</v>
      </c>
    </row>
    <row r="287" spans="1:13">
      <c r="C287" s="31">
        <v>2.8</v>
      </c>
      <c r="D287" s="22">
        <v>49.1</v>
      </c>
      <c r="E287" s="22">
        <v>11</v>
      </c>
      <c r="F287" s="27">
        <v>62678</v>
      </c>
      <c r="G287" s="27">
        <f t="shared" si="52"/>
        <v>4710.5</v>
      </c>
      <c r="J287" s="27">
        <v>491</v>
      </c>
      <c r="K287" s="25">
        <f t="shared" ref="K287:K289" si="53">G287*0.000000001/60</f>
        <v>7.8508333333333333E-8</v>
      </c>
      <c r="L287" s="36">
        <f t="shared" ref="L287:L289" si="54">K287*(1+LN(C287/0.076))/(2*PI()*C287*D287)</f>
        <v>4.186786046024696E-10</v>
      </c>
    </row>
    <row r="288" spans="1:13">
      <c r="C288" s="31">
        <v>2.8</v>
      </c>
      <c r="D288" s="22">
        <v>49.1</v>
      </c>
      <c r="E288" s="22">
        <v>13</v>
      </c>
      <c r="F288" s="27">
        <v>72267</v>
      </c>
      <c r="G288" s="27">
        <f t="shared" si="52"/>
        <v>4794.5</v>
      </c>
      <c r="J288" s="27">
        <v>491</v>
      </c>
      <c r="K288" s="25">
        <f t="shared" si="53"/>
        <v>7.9908333333333346E-8</v>
      </c>
      <c r="L288" s="36">
        <f t="shared" si="54"/>
        <v>4.261446915967606E-10</v>
      </c>
    </row>
    <row r="289" spans="1:13">
      <c r="C289" s="31">
        <v>2.8</v>
      </c>
      <c r="D289" s="22">
        <v>49.1</v>
      </c>
      <c r="E289" s="22">
        <v>15</v>
      </c>
      <c r="F289" s="27">
        <v>81623</v>
      </c>
      <c r="G289" s="27">
        <f t="shared" si="52"/>
        <v>4678</v>
      </c>
      <c r="J289" s="27">
        <v>491</v>
      </c>
      <c r="K289" s="25">
        <f t="shared" si="53"/>
        <v>7.796666666666667E-8</v>
      </c>
      <c r="L289" s="36">
        <f t="shared" si="54"/>
        <v>4.1578993999158324E-10</v>
      </c>
      <c r="M289" s="37">
        <f>AVERAGE(L287:L289)</f>
        <v>4.202044120636045E-10</v>
      </c>
    </row>
    <row r="290" spans="1:13">
      <c r="A290" s="1" t="s">
        <v>19</v>
      </c>
      <c r="B290" s="1" t="s">
        <v>70</v>
      </c>
      <c r="C290" s="31">
        <f>15.7-14</f>
        <v>1.6999999999999993</v>
      </c>
      <c r="D290" s="22">
        <v>100</v>
      </c>
      <c r="E290" s="22">
        <v>0</v>
      </c>
      <c r="F290" s="27">
        <v>0</v>
      </c>
      <c r="I290" s="32">
        <v>45755.402083333334</v>
      </c>
    </row>
    <row r="291" spans="1:13">
      <c r="E291" s="22">
        <v>1</v>
      </c>
      <c r="F291" s="27">
        <v>110</v>
      </c>
      <c r="G291" s="27">
        <f t="shared" si="52"/>
        <v>110</v>
      </c>
    </row>
    <row r="292" spans="1:13">
      <c r="E292" s="22">
        <v>2</v>
      </c>
      <c r="F292" s="27">
        <v>179</v>
      </c>
      <c r="G292" s="27">
        <f t="shared" si="52"/>
        <v>69</v>
      </c>
    </row>
    <row r="293" spans="1:13">
      <c r="E293" s="22">
        <v>3</v>
      </c>
      <c r="F293" s="27">
        <v>226</v>
      </c>
      <c r="G293" s="27">
        <f t="shared" si="52"/>
        <v>47</v>
      </c>
    </row>
    <row r="294" spans="1:13">
      <c r="E294" s="22">
        <v>4</v>
      </c>
      <c r="F294" s="27">
        <v>264</v>
      </c>
      <c r="G294" s="27">
        <f t="shared" si="52"/>
        <v>38</v>
      </c>
    </row>
    <row r="295" spans="1:13">
      <c r="E295" s="22">
        <v>5</v>
      </c>
      <c r="F295" s="27">
        <v>295</v>
      </c>
      <c r="G295" s="27">
        <f t="shared" si="52"/>
        <v>31</v>
      </c>
    </row>
    <row r="296" spans="1:13">
      <c r="E296" s="22">
        <v>10</v>
      </c>
      <c r="F296" s="27">
        <v>404</v>
      </c>
      <c r="G296" s="27">
        <f t="shared" si="52"/>
        <v>21.8</v>
      </c>
    </row>
    <row r="297" spans="1:13">
      <c r="E297" s="22">
        <v>15</v>
      </c>
      <c r="F297" s="27">
        <v>469</v>
      </c>
      <c r="G297" s="27">
        <f t="shared" si="52"/>
        <v>13</v>
      </c>
    </row>
    <row r="298" spans="1:13">
      <c r="E298" s="22">
        <v>20</v>
      </c>
      <c r="F298" s="27">
        <v>522</v>
      </c>
      <c r="G298" s="27">
        <f t="shared" si="52"/>
        <v>10.6</v>
      </c>
    </row>
    <row r="299" spans="1:13">
      <c r="C299" s="31">
        <v>1.7</v>
      </c>
      <c r="D299" s="22">
        <v>97.1</v>
      </c>
      <c r="E299" s="22">
        <v>25</v>
      </c>
      <c r="F299" s="27">
        <v>562</v>
      </c>
      <c r="G299" s="27">
        <f t="shared" si="52"/>
        <v>8</v>
      </c>
      <c r="J299" s="27">
        <v>971</v>
      </c>
      <c r="K299" s="25">
        <f t="shared" ref="K299" si="55">G299*0.000000001/60</f>
        <v>1.3333333333333334E-10</v>
      </c>
      <c r="L299" s="36">
        <f t="shared" ref="L299" si="56">K299*(1+LN(C299/0.076))/(2*PI()*C299*D299)</f>
        <v>5.2806109100570987E-13</v>
      </c>
    </row>
    <row r="300" spans="1:13">
      <c r="C300" s="31">
        <v>1.7</v>
      </c>
      <c r="D300" s="22">
        <v>97.1</v>
      </c>
      <c r="E300" s="22">
        <v>30</v>
      </c>
      <c r="F300" s="27">
        <v>600</v>
      </c>
      <c r="G300" s="27">
        <f t="shared" si="52"/>
        <v>7.6</v>
      </c>
      <c r="J300" s="27">
        <v>971</v>
      </c>
      <c r="K300" s="25">
        <f t="shared" ref="K300:K302" si="57">G300*0.000000001/60</f>
        <v>1.2666666666666667E-10</v>
      </c>
      <c r="L300" s="36">
        <f t="shared" ref="L300:L302" si="58">K300*(1+LN(C300/0.076))/(2*PI()*C300*D300)</f>
        <v>5.0165803645542435E-13</v>
      </c>
    </row>
    <row r="301" spans="1:13">
      <c r="C301" s="31">
        <v>1.7</v>
      </c>
      <c r="D301" s="22">
        <v>97.1</v>
      </c>
      <c r="E301" s="22">
        <v>35</v>
      </c>
      <c r="F301" s="27">
        <v>634</v>
      </c>
      <c r="G301" s="27">
        <f t="shared" si="52"/>
        <v>6.8</v>
      </c>
      <c r="J301" s="27">
        <v>971</v>
      </c>
      <c r="K301" s="25">
        <f t="shared" si="57"/>
        <v>1.1333333333333334E-10</v>
      </c>
      <c r="L301" s="36">
        <f t="shared" si="58"/>
        <v>4.488519273548534E-13</v>
      </c>
      <c r="M301" s="37">
        <f>AVERAGE(L299:L301)</f>
        <v>4.9285701827199591E-13</v>
      </c>
    </row>
    <row r="302" spans="1:13">
      <c r="A302" s="1" t="s">
        <v>19</v>
      </c>
      <c r="B302" s="1" t="s">
        <v>72</v>
      </c>
      <c r="C302" s="31">
        <f>13-10.5</f>
        <v>2.5</v>
      </c>
      <c r="D302" s="22">
        <v>100</v>
      </c>
      <c r="E302" s="22">
        <v>0</v>
      </c>
      <c r="F302" s="27">
        <v>0</v>
      </c>
      <c r="I302" s="32">
        <v>45755.429861111108</v>
      </c>
      <c r="K302" s="25"/>
      <c r="L302" s="36"/>
    </row>
    <row r="303" spans="1:13">
      <c r="E303" s="22">
        <v>1</v>
      </c>
      <c r="F303" s="27">
        <v>476</v>
      </c>
      <c r="G303" s="27">
        <f t="shared" si="52"/>
        <v>476</v>
      </c>
    </row>
    <row r="304" spans="1:13">
      <c r="E304" s="22">
        <v>2</v>
      </c>
      <c r="F304" s="27">
        <v>863</v>
      </c>
      <c r="G304" s="27">
        <f t="shared" si="52"/>
        <v>387</v>
      </c>
    </row>
    <row r="305" spans="3:13">
      <c r="E305" s="22">
        <v>3</v>
      </c>
      <c r="F305" s="27">
        <v>1265</v>
      </c>
      <c r="G305" s="27">
        <f t="shared" si="52"/>
        <v>402</v>
      </c>
    </row>
    <row r="306" spans="3:13">
      <c r="E306" s="22">
        <v>4</v>
      </c>
      <c r="F306" s="27">
        <v>1626</v>
      </c>
      <c r="G306" s="27">
        <f t="shared" si="52"/>
        <v>361</v>
      </c>
    </row>
    <row r="307" spans="3:13">
      <c r="E307" s="22">
        <v>5</v>
      </c>
      <c r="F307" s="27">
        <v>1983</v>
      </c>
      <c r="G307" s="27">
        <f t="shared" si="52"/>
        <v>357</v>
      </c>
    </row>
    <row r="308" spans="3:13">
      <c r="E308" s="22">
        <v>6</v>
      </c>
      <c r="F308" s="27">
        <v>2323</v>
      </c>
      <c r="G308" s="27">
        <f t="shared" si="52"/>
        <v>340</v>
      </c>
    </row>
    <row r="309" spans="3:13">
      <c r="E309" s="22">
        <v>7</v>
      </c>
      <c r="F309" s="27">
        <v>2642</v>
      </c>
      <c r="G309" s="27">
        <f t="shared" si="52"/>
        <v>319</v>
      </c>
    </row>
    <row r="310" spans="3:13">
      <c r="E310" s="22">
        <v>8</v>
      </c>
      <c r="F310" s="27">
        <v>2967</v>
      </c>
      <c r="G310" s="27">
        <f t="shared" si="52"/>
        <v>325</v>
      </c>
    </row>
    <row r="311" spans="3:13">
      <c r="E311" s="22">
        <v>9</v>
      </c>
      <c r="F311" s="27">
        <v>3276</v>
      </c>
      <c r="G311" s="27">
        <f t="shared" si="52"/>
        <v>309</v>
      </c>
    </row>
    <row r="312" spans="3:13">
      <c r="E312" s="22">
        <v>10</v>
      </c>
      <c r="F312" s="27">
        <v>3592</v>
      </c>
      <c r="G312" s="27">
        <f t="shared" si="52"/>
        <v>316</v>
      </c>
    </row>
    <row r="313" spans="3:13">
      <c r="E313" s="22">
        <v>11</v>
      </c>
      <c r="F313" s="27">
        <v>3885</v>
      </c>
      <c r="G313" s="27">
        <f t="shared" si="52"/>
        <v>293</v>
      </c>
    </row>
    <row r="314" spans="3:13">
      <c r="E314" s="22">
        <v>12</v>
      </c>
      <c r="F314" s="27">
        <v>4187</v>
      </c>
      <c r="G314" s="27">
        <f t="shared" si="52"/>
        <v>302</v>
      </c>
    </row>
    <row r="315" spans="3:13">
      <c r="E315" s="22">
        <v>13</v>
      </c>
      <c r="F315" s="27">
        <v>4475</v>
      </c>
      <c r="G315" s="27">
        <f t="shared" si="52"/>
        <v>288</v>
      </c>
    </row>
    <row r="316" spans="3:13">
      <c r="E316" s="22">
        <v>14</v>
      </c>
      <c r="F316" s="27">
        <v>4765</v>
      </c>
      <c r="G316" s="27">
        <f t="shared" si="52"/>
        <v>290</v>
      </c>
    </row>
    <row r="317" spans="3:13">
      <c r="E317" s="22">
        <v>15</v>
      </c>
      <c r="F317" s="27">
        <v>5063</v>
      </c>
      <c r="G317" s="27">
        <f t="shared" si="52"/>
        <v>298</v>
      </c>
    </row>
    <row r="318" spans="3:13">
      <c r="E318" s="22">
        <v>16</v>
      </c>
      <c r="F318" s="27">
        <v>5360</v>
      </c>
      <c r="G318" s="27">
        <f t="shared" si="52"/>
        <v>297</v>
      </c>
    </row>
    <row r="319" spans="3:13">
      <c r="C319" s="31">
        <v>2.5</v>
      </c>
      <c r="D319" s="22">
        <v>97.9</v>
      </c>
      <c r="E319" s="22">
        <v>17</v>
      </c>
      <c r="F319" s="27">
        <v>5618</v>
      </c>
      <c r="G319" s="27">
        <f t="shared" si="52"/>
        <v>258</v>
      </c>
      <c r="J319" s="27">
        <v>979</v>
      </c>
      <c r="K319" s="25">
        <f t="shared" ref="K319" si="59">G319*0.000000001/60</f>
        <v>4.3000000000000005E-9</v>
      </c>
      <c r="L319" s="36">
        <f t="shared" ref="L319" si="60">K319*(1+LN(C319/0.076))/(2*PI()*C319*D319)</f>
        <v>1.2564133059155117E-11</v>
      </c>
    </row>
    <row r="320" spans="3:13">
      <c r="C320" s="31">
        <v>2.5</v>
      </c>
      <c r="D320" s="22">
        <v>97.9</v>
      </c>
      <c r="E320" s="22">
        <v>18</v>
      </c>
      <c r="F320" s="27">
        <v>5893</v>
      </c>
      <c r="G320" s="27">
        <f t="shared" si="52"/>
        <v>275</v>
      </c>
      <c r="J320" s="27">
        <v>979</v>
      </c>
      <c r="K320" s="25">
        <f t="shared" ref="K320:K321" si="61">G320*0.000000001/60</f>
        <v>4.5833333333333338E-9</v>
      </c>
      <c r="L320" s="36">
        <f t="shared" ref="L320:L321" si="62">K320*(1+LN(C320/0.076))/(2*PI()*C320*D320)</f>
        <v>1.3392002291735105E-11</v>
      </c>
      <c r="M320" s="37">
        <f>AVERAGE(L319:L320)</f>
        <v>1.2978067675445111E-11</v>
      </c>
    </row>
    <row r="321" spans="1:12">
      <c r="A321" s="1" t="s">
        <v>19</v>
      </c>
      <c r="B321" s="1" t="s">
        <v>74</v>
      </c>
      <c r="C321" s="31">
        <f>9.5-8</f>
        <v>1.5</v>
      </c>
      <c r="D321" s="22">
        <v>100</v>
      </c>
      <c r="E321" s="22">
        <v>0</v>
      </c>
      <c r="F321" s="27">
        <v>0</v>
      </c>
      <c r="I321" s="32">
        <v>45755.445138888892</v>
      </c>
      <c r="K321" s="25"/>
      <c r="L321" s="36"/>
    </row>
    <row r="322" spans="1:12">
      <c r="E322" s="22">
        <v>1</v>
      </c>
      <c r="F322" s="27">
        <v>262</v>
      </c>
      <c r="G322" s="27">
        <f t="shared" si="52"/>
        <v>262</v>
      </c>
    </row>
    <row r="323" spans="1:12">
      <c r="E323" s="22">
        <v>2</v>
      </c>
      <c r="F323" s="27">
        <v>482</v>
      </c>
      <c r="G323" s="27">
        <f t="shared" si="52"/>
        <v>220</v>
      </c>
    </row>
    <row r="324" spans="1:12">
      <c r="E324" s="22">
        <v>3</v>
      </c>
      <c r="F324" s="27">
        <v>695</v>
      </c>
      <c r="G324" s="27">
        <f t="shared" si="52"/>
        <v>213</v>
      </c>
    </row>
    <row r="325" spans="1:12">
      <c r="E325" s="22">
        <v>4</v>
      </c>
      <c r="F325" s="27">
        <v>883</v>
      </c>
      <c r="G325" s="27">
        <f t="shared" si="52"/>
        <v>188</v>
      </c>
    </row>
    <row r="326" spans="1:12">
      <c r="E326" s="22">
        <v>5</v>
      </c>
      <c r="F326" s="27">
        <v>1063</v>
      </c>
      <c r="G326" s="27">
        <f t="shared" si="52"/>
        <v>180</v>
      </c>
    </row>
    <row r="327" spans="1:12">
      <c r="E327" s="22">
        <v>6</v>
      </c>
      <c r="F327" s="27">
        <v>1239</v>
      </c>
      <c r="G327" s="27">
        <f t="shared" si="52"/>
        <v>176</v>
      </c>
    </row>
    <row r="328" spans="1:12">
      <c r="E328" s="22">
        <v>7</v>
      </c>
      <c r="F328" s="27">
        <v>1405</v>
      </c>
      <c r="G328" s="27">
        <f t="shared" si="52"/>
        <v>166</v>
      </c>
    </row>
    <row r="329" spans="1:12">
      <c r="E329" s="22">
        <v>9</v>
      </c>
      <c r="F329" s="27">
        <v>1717</v>
      </c>
      <c r="G329" s="27">
        <f t="shared" si="52"/>
        <v>156</v>
      </c>
    </row>
    <row r="330" spans="1:12">
      <c r="E330" s="22">
        <v>10</v>
      </c>
      <c r="F330" s="27">
        <v>1858</v>
      </c>
      <c r="G330" s="27">
        <f t="shared" si="52"/>
        <v>141</v>
      </c>
    </row>
    <row r="331" spans="1:12">
      <c r="E331" s="22">
        <v>11</v>
      </c>
      <c r="F331" s="27">
        <v>2020</v>
      </c>
      <c r="G331" s="27">
        <f t="shared" si="52"/>
        <v>162</v>
      </c>
    </row>
    <row r="332" spans="1:12">
      <c r="E332" s="22">
        <v>12</v>
      </c>
      <c r="F332" s="27">
        <v>2173</v>
      </c>
      <c r="G332" s="27">
        <f t="shared" si="52"/>
        <v>153</v>
      </c>
    </row>
    <row r="333" spans="1:12">
      <c r="E333" s="22">
        <v>13</v>
      </c>
      <c r="F333" s="27">
        <v>2310</v>
      </c>
      <c r="G333" s="27">
        <f t="shared" si="52"/>
        <v>137</v>
      </c>
    </row>
    <row r="334" spans="1:12">
      <c r="E334" s="22">
        <v>14</v>
      </c>
      <c r="F334" s="27">
        <v>2453</v>
      </c>
      <c r="G334" s="27">
        <f t="shared" si="52"/>
        <v>143</v>
      </c>
    </row>
    <row r="335" spans="1:12">
      <c r="E335" s="22">
        <v>15</v>
      </c>
      <c r="F335" s="27">
        <v>2590</v>
      </c>
      <c r="G335" s="27">
        <f t="shared" si="52"/>
        <v>137</v>
      </c>
    </row>
    <row r="336" spans="1:12">
      <c r="E336" s="22">
        <v>16</v>
      </c>
      <c r="F336" s="27">
        <v>2730</v>
      </c>
      <c r="G336" s="27">
        <f t="shared" si="52"/>
        <v>140</v>
      </c>
    </row>
    <row r="337" spans="3:13">
      <c r="C337" s="31">
        <v>1.5</v>
      </c>
      <c r="D337" s="22">
        <v>99.4</v>
      </c>
      <c r="E337" s="22">
        <v>18</v>
      </c>
      <c r="F337" s="27">
        <v>2993</v>
      </c>
      <c r="G337" s="27">
        <f t="shared" si="52"/>
        <v>131.5</v>
      </c>
      <c r="J337" s="27">
        <v>994</v>
      </c>
      <c r="K337" s="25">
        <f t="shared" ref="K337" si="63">G337*0.000000001/60</f>
        <v>2.1916666666666669E-9</v>
      </c>
      <c r="L337" s="36">
        <f t="shared" ref="L337" si="64">K337*(1+LN(C337/0.076))/(2*PI()*C337*D337)</f>
        <v>9.3168984638638455E-12</v>
      </c>
    </row>
    <row r="338" spans="3:13">
      <c r="C338" s="31">
        <v>1.5</v>
      </c>
      <c r="D338" s="22">
        <v>99.4</v>
      </c>
      <c r="E338" s="22">
        <v>20</v>
      </c>
      <c r="F338" s="27">
        <v>3223</v>
      </c>
      <c r="G338" s="27">
        <f t="shared" si="52"/>
        <v>115</v>
      </c>
      <c r="J338" s="27">
        <v>994</v>
      </c>
      <c r="K338" s="25">
        <f t="shared" ref="K338" si="65">G338*0.000000001/60</f>
        <v>1.9166666666666669E-9</v>
      </c>
      <c r="L338" s="36">
        <f t="shared" ref="L338" si="66">K338*(1+LN(C338/0.076))/(2*PI()*C338*D338)</f>
        <v>8.1478579722003208E-12</v>
      </c>
      <c r="M338" s="37">
        <f>AVERAGE(L337:L338)</f>
        <v>8.7323782180320831E-12</v>
      </c>
    </row>
  </sheetData>
  <pageMargins left="0.7" right="0.7" top="0.78740157499999996" bottom="0.78740157499999996" header="0.3" footer="0.3"/>
  <pageSetup paperSize="9" scale="4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369E-AB97-43D1-B562-9EC2B0CE4363}">
  <dimension ref="A1:H25"/>
  <sheetViews>
    <sheetView workbookViewId="0">
      <selection activeCell="J18" sqref="J18"/>
    </sheetView>
  </sheetViews>
  <sheetFormatPr defaultRowHeight="15"/>
  <cols>
    <col min="1" max="1" width="9.140625" style="22"/>
    <col min="2" max="2" width="9.5703125" style="22" customWidth="1"/>
    <col min="3" max="3" width="11.140625" style="38" customWidth="1"/>
    <col min="4" max="4" width="10.28515625" style="38" bestFit="1" customWidth="1"/>
    <col min="5" max="7" width="9.140625" style="38"/>
    <col min="8" max="8" width="12.140625" style="38" bestFit="1" customWidth="1"/>
    <col min="9" max="16384" width="9.140625" style="38"/>
  </cols>
  <sheetData>
    <row r="1" spans="1:8" ht="60">
      <c r="A1" s="23" t="s">
        <v>0</v>
      </c>
      <c r="B1" s="23" t="s">
        <v>1</v>
      </c>
      <c r="C1" s="23" t="s">
        <v>7</v>
      </c>
      <c r="D1" s="23" t="s">
        <v>7</v>
      </c>
      <c r="E1" s="41" t="s">
        <v>0</v>
      </c>
      <c r="F1" s="41" t="s">
        <v>1</v>
      </c>
      <c r="G1" s="41" t="s">
        <v>2</v>
      </c>
      <c r="H1" s="41" t="s">
        <v>7</v>
      </c>
    </row>
    <row r="2" spans="1:8">
      <c r="A2" s="22" t="s">
        <v>9</v>
      </c>
      <c r="B2" s="22" t="s">
        <v>51</v>
      </c>
      <c r="C2" s="39">
        <v>1.7709006232659702E-7</v>
      </c>
      <c r="D2" s="38" t="s">
        <v>75</v>
      </c>
      <c r="E2" s="38" t="s">
        <v>9</v>
      </c>
      <c r="F2" s="38" t="s">
        <v>10</v>
      </c>
      <c r="G2" s="40">
        <v>10.199999999999999</v>
      </c>
      <c r="H2" s="39">
        <v>1.5219517218922628E-10</v>
      </c>
    </row>
    <row r="3" spans="1:8">
      <c r="A3" s="22" t="s">
        <v>9</v>
      </c>
      <c r="B3" s="22" t="s">
        <v>52</v>
      </c>
      <c r="C3" s="39">
        <v>5.8786101305273706E-10</v>
      </c>
    </row>
    <row r="4" spans="1:8">
      <c r="A4" s="44" t="s">
        <v>9</v>
      </c>
      <c r="B4" s="44" t="s">
        <v>53</v>
      </c>
      <c r="C4" s="47">
        <v>8.2346877701542093E-11</v>
      </c>
      <c r="D4" s="48"/>
      <c r="E4" s="48"/>
      <c r="F4" s="48"/>
      <c r="G4" s="48"/>
      <c r="H4" s="48"/>
    </row>
    <row r="5" spans="1:8">
      <c r="A5" s="22" t="s">
        <v>11</v>
      </c>
      <c r="B5" s="22" t="s">
        <v>54</v>
      </c>
      <c r="C5" s="39">
        <v>3.0221791522426078E-11</v>
      </c>
      <c r="E5" s="38" t="s">
        <v>11</v>
      </c>
      <c r="F5" s="38" t="s">
        <v>12</v>
      </c>
      <c r="G5" s="40">
        <v>6.64</v>
      </c>
      <c r="H5" s="39">
        <v>6.1573254639769625E-10</v>
      </c>
    </row>
    <row r="6" spans="1:8">
      <c r="A6" s="22" t="s">
        <v>11</v>
      </c>
      <c r="B6" s="22" t="s">
        <v>55</v>
      </c>
      <c r="C6" s="39">
        <v>8.260191808804018E-10</v>
      </c>
    </row>
    <row r="7" spans="1:8">
      <c r="A7" s="44" t="s">
        <v>11</v>
      </c>
      <c r="B7" s="44" t="s">
        <v>56</v>
      </c>
      <c r="C7" s="47">
        <v>5.5609130660267186E-10</v>
      </c>
      <c r="D7" s="48"/>
      <c r="E7" s="48"/>
      <c r="F7" s="48"/>
      <c r="G7" s="48"/>
      <c r="H7" s="48"/>
    </row>
    <row r="8" spans="1:8">
      <c r="A8" s="22" t="s">
        <v>14</v>
      </c>
      <c r="B8" s="22" t="s">
        <v>59</v>
      </c>
      <c r="C8" s="39">
        <v>6.7106755576796766E-12</v>
      </c>
      <c r="E8" s="38" t="s">
        <v>14</v>
      </c>
      <c r="F8" s="38" t="s">
        <v>15</v>
      </c>
      <c r="G8" s="40">
        <v>8</v>
      </c>
      <c r="H8" s="39">
        <v>1.8293061484269055E-10</v>
      </c>
    </row>
    <row r="9" spans="1:8">
      <c r="A9" s="22" t="s">
        <v>14</v>
      </c>
      <c r="B9" s="22" t="s">
        <v>60</v>
      </c>
      <c r="C9" s="39">
        <v>1.9664887823145773E-9</v>
      </c>
    </row>
    <row r="10" spans="1:8">
      <c r="A10" s="44" t="s">
        <v>14</v>
      </c>
      <c r="B10" s="44" t="s">
        <v>61</v>
      </c>
      <c r="C10" s="47">
        <v>5.7400387136197161E-12</v>
      </c>
      <c r="D10" s="48"/>
      <c r="E10" s="48"/>
      <c r="F10" s="48"/>
      <c r="G10" s="48"/>
      <c r="H10" s="48"/>
    </row>
    <row r="11" spans="1:8">
      <c r="A11" s="22" t="s">
        <v>17</v>
      </c>
      <c r="B11" s="22" t="s">
        <v>62</v>
      </c>
      <c r="C11" s="39">
        <v>1.8289487620441628E-12</v>
      </c>
      <c r="E11" s="38" t="s">
        <v>17</v>
      </c>
      <c r="F11" s="38" t="s">
        <v>18</v>
      </c>
      <c r="G11" s="40">
        <v>9.5</v>
      </c>
      <c r="H11" s="39">
        <v>7.8346001545363711E-11</v>
      </c>
    </row>
    <row r="12" spans="1:8">
      <c r="A12" s="22" t="s">
        <v>17</v>
      </c>
      <c r="B12" s="22" t="s">
        <v>63</v>
      </c>
      <c r="C12" s="39">
        <v>4.496329821636148E-11</v>
      </c>
    </row>
    <row r="13" spans="1:8">
      <c r="A13" s="44" t="s">
        <v>17</v>
      </c>
      <c r="B13" s="44" t="s">
        <v>64</v>
      </c>
      <c r="C13" s="47">
        <v>4.4919931265911271E-12</v>
      </c>
      <c r="D13" s="48"/>
      <c r="E13" s="48"/>
      <c r="F13" s="48"/>
      <c r="G13" s="48"/>
      <c r="H13" s="48"/>
    </row>
    <row r="14" spans="1:8">
      <c r="A14" s="22" t="s">
        <v>26</v>
      </c>
      <c r="B14" s="22" t="s">
        <v>65</v>
      </c>
      <c r="C14" s="39">
        <v>1.1402397151259662E-11</v>
      </c>
      <c r="D14" s="39">
        <v>8.1922449219154781E-12</v>
      </c>
      <c r="E14" s="38" t="s">
        <v>26</v>
      </c>
      <c r="F14" s="38" t="s">
        <v>25</v>
      </c>
      <c r="G14" s="40">
        <v>9</v>
      </c>
      <c r="H14" s="39">
        <v>4.9655388904431572E-11</v>
      </c>
    </row>
    <row r="15" spans="1:8">
      <c r="A15" s="22" t="s">
        <v>26</v>
      </c>
      <c r="B15" s="22" t="s">
        <v>66</v>
      </c>
      <c r="C15" s="39">
        <v>1.9062409255930839E-11</v>
      </c>
      <c r="D15" s="39">
        <v>1.2291739521262685E-11</v>
      </c>
    </row>
    <row r="16" spans="1:8">
      <c r="A16" s="44" t="s">
        <v>26</v>
      </c>
      <c r="B16" s="44" t="s">
        <v>53</v>
      </c>
      <c r="C16" s="47">
        <v>5.347200179844879E-12</v>
      </c>
      <c r="D16" s="47">
        <v>4.0533064676893372E-12</v>
      </c>
      <c r="E16" s="48"/>
      <c r="F16" s="48"/>
      <c r="G16" s="48"/>
      <c r="H16" s="48"/>
    </row>
    <row r="17" spans="1:8">
      <c r="A17" s="22" t="s">
        <v>21</v>
      </c>
      <c r="B17" s="22" t="s">
        <v>67</v>
      </c>
      <c r="C17" s="39">
        <v>1.2674532477919109E-11</v>
      </c>
      <c r="E17" s="38" t="s">
        <v>21</v>
      </c>
      <c r="F17" s="38" t="s">
        <v>22</v>
      </c>
      <c r="G17" s="40">
        <v>9</v>
      </c>
      <c r="H17" s="38" t="s">
        <v>23</v>
      </c>
    </row>
    <row r="18" spans="1:8">
      <c r="A18" s="22" t="s">
        <v>21</v>
      </c>
      <c r="B18" s="22" t="s">
        <v>60</v>
      </c>
      <c r="C18" s="39">
        <v>1.1926164318053497E-11</v>
      </c>
    </row>
    <row r="19" spans="1:8">
      <c r="A19" s="44" t="s">
        <v>21</v>
      </c>
      <c r="B19" s="44" t="s">
        <v>61</v>
      </c>
      <c r="C19" s="47">
        <v>6.2116796999038422E-11</v>
      </c>
      <c r="D19" s="48"/>
      <c r="E19" s="48"/>
      <c r="F19" s="48"/>
      <c r="G19" s="48"/>
      <c r="H19" s="48"/>
    </row>
    <row r="20" spans="1:8">
      <c r="A20" s="22" t="s">
        <v>24</v>
      </c>
      <c r="B20" s="22" t="s">
        <v>68</v>
      </c>
      <c r="C20" s="39">
        <v>4.202044120636045E-10</v>
      </c>
      <c r="E20" s="38" t="s">
        <v>24</v>
      </c>
      <c r="F20" s="38" t="s">
        <v>25</v>
      </c>
      <c r="G20" s="40">
        <v>9</v>
      </c>
      <c r="H20" s="39">
        <v>3.9014948424910515E-11</v>
      </c>
    </row>
    <row r="21" spans="1:8">
      <c r="A21" s="22" t="s">
        <v>24</v>
      </c>
      <c r="B21" s="22" t="s">
        <v>52</v>
      </c>
      <c r="C21" s="39">
        <v>5.3324371193043947E-10</v>
      </c>
    </row>
    <row r="22" spans="1:8">
      <c r="A22" s="44" t="s">
        <v>24</v>
      </c>
      <c r="B22" s="44" t="s">
        <v>53</v>
      </c>
      <c r="C22" s="47">
        <v>1.0173187195453923E-10</v>
      </c>
      <c r="D22" s="48"/>
      <c r="E22" s="48"/>
      <c r="F22" s="48"/>
      <c r="G22" s="48"/>
      <c r="H22" s="48"/>
    </row>
    <row r="23" spans="1:8">
      <c r="A23" s="22" t="s">
        <v>19</v>
      </c>
      <c r="B23" s="22" t="s">
        <v>70</v>
      </c>
      <c r="C23" s="39">
        <v>4.9285701827199591E-13</v>
      </c>
      <c r="E23" s="38" t="s">
        <v>19</v>
      </c>
      <c r="F23" s="38" t="s">
        <v>20</v>
      </c>
      <c r="G23" s="40">
        <v>9</v>
      </c>
      <c r="H23" s="39">
        <v>9.3635876219785233E-11</v>
      </c>
    </row>
    <row r="24" spans="1:8">
      <c r="A24" s="22" t="s">
        <v>19</v>
      </c>
      <c r="B24" s="22" t="s">
        <v>72</v>
      </c>
      <c r="C24" s="39">
        <v>1.2978067675445111E-11</v>
      </c>
    </row>
    <row r="25" spans="1:8">
      <c r="A25" s="44" t="s">
        <v>19</v>
      </c>
      <c r="B25" s="44" t="s">
        <v>74</v>
      </c>
      <c r="C25" s="47">
        <v>8.7323782180320831E-12</v>
      </c>
      <c r="D25" s="48"/>
      <c r="E25" s="48"/>
      <c r="F25" s="48"/>
      <c r="G25" s="48"/>
      <c r="H25" s="48"/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38328f-7f83-463c-8f5b-8faa75e57ef5">
      <Terms xmlns="http://schemas.microsoft.com/office/infopath/2007/PartnerControls"/>
    </lcf76f155ced4ddcb4097134ff3c332f>
    <TaxCatchAll xmlns="dfa7048f-e634-4e05-b21e-550315c5663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D0BBB4EE106140A9DAE8AB98A22896" ma:contentTypeVersion="17" ma:contentTypeDescription="Vytvoří nový dokument" ma:contentTypeScope="" ma:versionID="9981d0dc05ac2334554cbcecc07889bd">
  <xsd:schema xmlns:xsd="http://www.w3.org/2001/XMLSchema" xmlns:xs="http://www.w3.org/2001/XMLSchema" xmlns:p="http://schemas.microsoft.com/office/2006/metadata/properties" xmlns:ns2="5138328f-7f83-463c-8f5b-8faa75e57ef5" xmlns:ns3="dfa7048f-e634-4e05-b21e-550315c56630" targetNamespace="http://schemas.microsoft.com/office/2006/metadata/properties" ma:root="true" ma:fieldsID="042ec565da7f6265de4f4dce29c57d1e" ns2:_="" ns3:_="">
    <xsd:import namespace="5138328f-7f83-463c-8f5b-8faa75e57ef5"/>
    <xsd:import namespace="dfa7048f-e634-4e05-b21e-550315c56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8328f-7f83-463c-8f5b-8faa75e57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12676c47-eb11-4139-b5ed-f835b2feba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7048f-e634-4e05-b21e-550315c56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8f7392-304f-473b-872f-c6bbd14bdf48}" ma:internalName="TaxCatchAll" ma:showField="CatchAllData" ma:web="dfa7048f-e634-4e05-b21e-550315c566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9F920-3425-4A9F-B053-65B8C6D3AC05}"/>
</file>

<file path=customXml/itemProps2.xml><?xml version="1.0" encoding="utf-8"?>
<ds:datastoreItem xmlns:ds="http://schemas.openxmlformats.org/officeDocument/2006/customXml" ds:itemID="{D7A1BAC5-D0D7-4428-AC39-0097D451AE8F}"/>
</file>

<file path=customXml/itemProps3.xml><?xml version="1.0" encoding="utf-8"?>
<ds:datastoreItem xmlns:ds="http://schemas.openxmlformats.org/officeDocument/2006/customXml" ds:itemID="{BE29DB0F-D8C9-4A5D-89E0-536DEEC95C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Sosna Karel</dc:creator>
  <cp:keywords/>
  <dc:description/>
  <cp:lastModifiedBy>Jan Březina</cp:lastModifiedBy>
  <cp:revision/>
  <dcterms:created xsi:type="dcterms:W3CDTF">2024-04-09T11:55:03Z</dcterms:created>
  <dcterms:modified xsi:type="dcterms:W3CDTF">2025-04-18T15:05:26Z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0x010100EAD0BBB4EE106140A9DAE8AB98A22896</vt:lpwstr>
  </property>
  <property fmtid="{D5CDD505-2E9C-101B-9397-08002B2CF9AE}" pid="3" name="MediaServiceImageTags">
    <vt:lpwstr/>
  </property>
</Properties>
</file>