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oiture" sheetId="1" state="visible" r:id="rId2"/>
    <sheet name="camion" sheetId="2" state="visible" r:id="rId3"/>
    <sheet name="vélo" sheetId="3" state="visible" r:id="rId4"/>
    <sheet name="infovélo" sheetId="4" state="visible" r:id="rId5"/>
    <sheet name="données" sheetId="5" state="visible" r:id="rId6"/>
    <sheet name="courb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F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Claude:
</t>
        </r>
        <r>
          <rPr>
            <sz val="9"/>
            <color rgb="FF000000"/>
            <rFont val="Tahoma"/>
            <family val="2"/>
            <charset val="1"/>
          </rPr>
          <t xml:space="preserve">dents pignon/dents pedalier</t>
        </r>
      </text>
    </comment>
  </commentList>
</comments>
</file>

<file path=xl/sharedStrings.xml><?xml version="1.0" encoding="utf-8"?>
<sst xmlns="http://schemas.openxmlformats.org/spreadsheetml/2006/main" count="377" uniqueCount="195">
  <si>
    <t xml:space="preserve">Masse, aérodynamique, roulement</t>
  </si>
  <si>
    <t xml:space="preserve">Moteur, transmission</t>
  </si>
  <si>
    <t xml:space="preserve">Conditions de roulage</t>
  </si>
  <si>
    <t xml:space="preserve">masse a vide  kg</t>
  </si>
  <si>
    <t xml:space="preserve">rendement transmission</t>
  </si>
  <si>
    <r>
      <rPr>
        <b val="true"/>
        <sz val="10"/>
        <rFont val="Arial"/>
        <family val="2"/>
        <charset val="1"/>
      </rPr>
      <t xml:space="preserve">vitesse vehicule</t>
    </r>
    <r>
      <rPr>
        <sz val="10"/>
        <rFont val="Arial"/>
        <family val="0"/>
        <charset val="1"/>
      </rPr>
      <t xml:space="preserve">  km/h</t>
    </r>
  </si>
  <si>
    <t xml:space="preserve">masse de chargement kg</t>
  </si>
  <si>
    <t xml:space="preserve">rapport  boite entree/sortie</t>
  </si>
  <si>
    <r>
      <rPr>
        <b val="true"/>
        <sz val="10"/>
        <rFont val="Arial"/>
        <family val="2"/>
        <charset val="1"/>
      </rPr>
      <t xml:space="preserve">vent au sol</t>
    </r>
    <r>
      <rPr>
        <sz val="10"/>
        <rFont val="Arial"/>
        <family val="0"/>
        <charset val="1"/>
      </rPr>
      <t xml:space="preserve"> km/h (face +)</t>
    </r>
  </si>
  <si>
    <t xml:space="preserve">masse totale  kg</t>
  </si>
  <si>
    <t xml:space="preserve">rapport transmission  pont</t>
  </si>
  <si>
    <t xml:space="preserve">vitesse véhicule m/s</t>
  </si>
  <si>
    <t xml:space="preserve"> </t>
  </si>
  <si>
    <t xml:space="preserve">rapport transm boite x pont</t>
  </si>
  <si>
    <t xml:space="preserve">vent réel en m/s</t>
  </si>
  <si>
    <r>
      <rPr>
        <sz val="10"/>
        <rFont val="Arial"/>
        <family val="0"/>
        <charset val="1"/>
      </rPr>
      <t xml:space="preserve">coef </t>
    </r>
    <r>
      <rPr>
        <b val="true"/>
        <sz val="10"/>
        <rFont val="Arial"/>
        <family val="2"/>
        <charset val="1"/>
      </rPr>
      <t xml:space="preserve">résistance roulement</t>
    </r>
  </si>
  <si>
    <r>
      <rPr>
        <b val="true"/>
        <sz val="10"/>
        <rFont val="Arial"/>
        <family val="2"/>
        <charset val="1"/>
      </rPr>
      <t xml:space="preserve">regime moteur</t>
    </r>
    <r>
      <rPr>
        <sz val="10"/>
        <rFont val="Arial"/>
        <family val="0"/>
        <charset val="1"/>
      </rPr>
      <t xml:space="preserve">  tr/mn</t>
    </r>
  </si>
  <si>
    <t xml:space="preserve">rayon roue sous charge  m</t>
  </si>
  <si>
    <r>
      <rPr>
        <b val="true"/>
        <sz val="10"/>
        <rFont val="Arial"/>
        <family val="2"/>
        <charset val="1"/>
      </rPr>
      <t xml:space="preserve">acceleration</t>
    </r>
    <r>
      <rPr>
        <sz val="10"/>
        <rFont val="Arial"/>
        <family val="0"/>
        <charset val="1"/>
      </rPr>
      <t xml:space="preserve"> m/s2</t>
    </r>
  </si>
  <si>
    <r>
      <rPr>
        <b val="true"/>
        <sz val="10"/>
        <rFont val="Arial"/>
        <family val="2"/>
        <charset val="1"/>
      </rPr>
      <t xml:space="preserve">CSP en gr/kw/h</t>
    </r>
    <r>
      <rPr>
        <sz val="10"/>
        <rFont val="Arial"/>
        <family val="0"/>
        <charset val="1"/>
      </rPr>
      <t xml:space="preserve"> (voir regime)</t>
    </r>
  </si>
  <si>
    <t xml:space="preserve">1 m/s = 3,6 km/h par s</t>
  </si>
  <si>
    <t xml:space="preserve"> surface frontale  m2</t>
  </si>
  <si>
    <t xml:space="preserve">rendement moteur</t>
  </si>
  <si>
    <r>
      <rPr>
        <b val="true"/>
        <sz val="10"/>
        <rFont val="Arial"/>
        <family val="2"/>
        <charset val="1"/>
      </rPr>
      <t xml:space="preserve">pente route</t>
    </r>
    <r>
      <rPr>
        <sz val="10"/>
        <rFont val="Arial"/>
        <family val="0"/>
        <charset val="1"/>
      </rPr>
      <t xml:space="preserve">  %</t>
    </r>
  </si>
  <si>
    <t xml:space="preserve">coef penetration air Cx</t>
  </si>
  <si>
    <t xml:space="preserve">nombre de cyl (4 temps)</t>
  </si>
  <si>
    <t xml:space="preserve">SCx</t>
  </si>
  <si>
    <t xml:space="preserve">masse vol carburant g/l</t>
  </si>
  <si>
    <t xml:space="preserve">P équipements  Kw</t>
  </si>
  <si>
    <t xml:space="preserve">masse vol air  kg/m3</t>
  </si>
  <si>
    <t xml:space="preserve">k</t>
  </si>
  <si>
    <t xml:space="preserve">pouvoir calorifique joules/g</t>
  </si>
  <si>
    <t xml:space="preserve">Climatisation, alternateur, prise force</t>
  </si>
  <si>
    <t xml:space="preserve">F  avancement daN</t>
  </si>
  <si>
    <t xml:space="preserve">"=</t>
  </si>
  <si>
    <t xml:space="preserve">F pente</t>
  </si>
  <si>
    <t xml:space="preserve">"+"</t>
  </si>
  <si>
    <t xml:space="preserve"> F roulement</t>
  </si>
  <si>
    <t xml:space="preserve">F aérodynamique</t>
  </si>
  <si>
    <t xml:space="preserve">F acceleration</t>
  </si>
  <si>
    <t xml:space="preserve">m * g * pente/100</t>
  </si>
  <si>
    <t xml:space="preserve">coef roul * masse * g</t>
  </si>
  <si>
    <t xml:space="preserve">(S * Cx *  mvol air * vit*vit) / 2</t>
  </si>
  <si>
    <t xml:space="preserve">accelleration * masse</t>
  </si>
  <si>
    <t xml:space="preserve">Puissance moteur  kW</t>
  </si>
  <si>
    <t xml:space="preserve">F avancement</t>
  </si>
  <si>
    <t xml:space="preserve">"x"</t>
  </si>
  <si>
    <t xml:space="preserve">Vitesse   m/s</t>
  </si>
  <si>
    <t xml:space="preserve">"/"</t>
  </si>
  <si>
    <t xml:space="preserve">Puissance chevaux</t>
  </si>
  <si>
    <t xml:space="preserve">Couple m.daN</t>
  </si>
  <si>
    <t xml:space="preserve">avec P équipements</t>
  </si>
  <si>
    <t xml:space="preserve">Conso litres au 100 km</t>
  </si>
  <si>
    <t xml:space="preserve">conso gr au 100 km</t>
  </si>
  <si>
    <t xml:space="preserve">Q injecté cm3 / coup</t>
  </si>
  <si>
    <t xml:space="preserve">Q injecté mm3 / coup</t>
  </si>
  <si>
    <t xml:space="preserve">conso instantanée gr/s</t>
  </si>
  <si>
    <t xml:space="preserve">puissance kW</t>
  </si>
  <si>
    <t xml:space="preserve">CSP / 3600</t>
  </si>
  <si>
    <t xml:space="preserve">Q injecté par cyl g / coup</t>
  </si>
  <si>
    <t xml:space="preserve">  </t>
  </si>
  <si>
    <t xml:space="preserve">Q air necessaire MINI en g</t>
  </si>
  <si>
    <t xml:space="preserve">1/15</t>
  </si>
  <si>
    <t xml:space="preserve">conso en gr au 100 km</t>
  </si>
  <si>
    <t xml:space="preserve">conso gr/s</t>
  </si>
  <si>
    <t xml:space="preserve">temps pour 100 km en s</t>
  </si>
  <si>
    <t xml:space="preserve">volume air MINI litres à P at</t>
  </si>
  <si>
    <t xml:space="preserve">vol total MINI  litres à Pat</t>
  </si>
  <si>
    <t xml:space="preserve">Renseigner les cases en jaune</t>
  </si>
  <si>
    <t xml:space="preserve">les cases bleus sont calculées</t>
  </si>
  <si>
    <t xml:space="preserve">Picasso HDI</t>
  </si>
  <si>
    <t xml:space="preserve">voir feuille données</t>
  </si>
  <si>
    <t xml:space="preserve">calculs intermédaires</t>
  </si>
  <si>
    <t xml:space="preserve">Puis Kw / ch à 4000tr/mn</t>
  </si>
  <si>
    <t xml:space="preserve">66 / 90</t>
  </si>
  <si>
    <t xml:space="preserve">vit maxi km/h</t>
  </si>
  <si>
    <t xml:space="preserve">couple maxi 1900tr/mn</t>
  </si>
  <si>
    <t xml:space="preserve">20,5 daN.m</t>
  </si>
  <si>
    <t xml:space="preserve">pont </t>
  </si>
  <si>
    <t xml:space="preserve">rayon roue mesuré</t>
  </si>
  <si>
    <t xml:space="preserve">pneus 185/65 R15</t>
  </si>
  <si>
    <t xml:space="preserve">Emission CO2 moyen g/km</t>
  </si>
  <si>
    <t xml:space="preserve">rapport  boite sortie/entree</t>
  </si>
  <si>
    <t xml:space="preserve">ex: 0,3 on gagne 4kh/h en 3s</t>
  </si>
  <si>
    <r>
      <rPr>
        <b val="true"/>
        <sz val="10"/>
        <rFont val="Arial"/>
        <family val="2"/>
        <charset val="1"/>
      </rPr>
      <t xml:space="preserve">regime pedalier</t>
    </r>
    <r>
      <rPr>
        <sz val="10"/>
        <rFont val="Arial"/>
        <family val="0"/>
        <charset val="1"/>
      </rPr>
      <t xml:space="preserve">  tr/mn</t>
    </r>
  </si>
  <si>
    <t xml:space="preserve">Pcycliste mettre -</t>
  </si>
  <si>
    <t xml:space="preserve">les cases bleus sont calculées. Pas toucher</t>
  </si>
  <si>
    <t xml:space="preserve">vélo course à 50km/h</t>
  </si>
  <si>
    <t xml:space="preserve">total puissance</t>
  </si>
  <si>
    <t xml:space="preserve">600 w</t>
  </si>
  <si>
    <t xml:space="preserve">velo aero</t>
  </si>
  <si>
    <t xml:space="preserve">200 w</t>
  </si>
  <si>
    <t xml:space="preserve">homme aero</t>
  </si>
  <si>
    <t xml:space="preserve">350 w</t>
  </si>
  <si>
    <t xml:space="preserve">roulement (coef env 0,005)</t>
  </si>
  <si>
    <t xml:space="preserve">50 w</t>
  </si>
  <si>
    <t xml:space="preserve">On a utilisé pour les deux prises de mesures les mêmes roues et les mêmes pneus.</t>
  </si>
  <si>
    <t xml:space="preserve">Les caractéristiques nécessaires au vélo 1) sont bien décrites par la formule suivante :</t>
  </si>
  <si>
    <t xml:space="preserve">Coefficient de résistance au roulement</t>
  </si>
  <si>
    <t xml:space="preserve">coefficient de résistance au roulement</t>
  </si>
  <si>
    <t xml:space="preserve">p=(m*g*rw*v+0.5*sml*a*cw*v^3)r</t>
  </si>
  <si>
    <t xml:space="preserve">Vredestein perfect prs 28" 0,00514</t>
  </si>
  <si>
    <t xml:space="preserve">Vredestein perfect prs 28" 0,00556</t>
  </si>
  <si>
    <t xml:space="preserve">Schwalbe marathon comfort 28" 0,00595</t>
  </si>
  <si>
    <t xml:space="preserve">Schwalbe marathoncomfort28" 0,00599</t>
  </si>
  <si>
    <t xml:space="preserve">où: p en watt</t>
  </si>
  <si>
    <t xml:space="preserve">Michelin altika 28" 0,00538</t>
  </si>
  <si>
    <t xml:space="preserve">Michelin altika 28" 0,00558</t>
  </si>
  <si>
    <t xml:space="preserve">Continental top touring 2000 28" 0,00561</t>
  </si>
  <si>
    <t xml:space="preserve">Continental top touring2000 0,00579</t>
  </si>
  <si>
    <t xml:space="preserve">m= poids par cycliste en kg.</t>
  </si>
  <si>
    <t xml:space="preserve">Dutch perfect no flat tyre nr.99/86 28" 0,00592</t>
  </si>
  <si>
    <t xml:space="preserve">Dutch perfect no flat tyre nr 99/86 28" 0,00595</t>
  </si>
  <si>
    <t xml:space="preserve">g= 9.81 m/s^2</t>
  </si>
  <si>
    <t xml:space="preserve">rw = coefficient de résistance au roulement</t>
  </si>
  <si>
    <t xml:space="preserve">Comme vous le voyez, les différences de résistance au roulement sont très faibles dans les grandes marques. Il y a aussi parfois une petite différence pour un pneu de la même marque. Celle-ci est d'environ 5%. Il y a aussi une petite différence par mesure; la reproductibilité se situe entre 2 et 3,5%, la tolérance est d'environ 8%.</t>
  </si>
  <si>
    <t xml:space="preserve">v= vitesse du cycliste en m/s.</t>
  </si>
  <si>
    <t xml:space="preserve">sml= densité de l'air en kg/m^3 is 1.2.</t>
  </si>
  <si>
    <t xml:space="preserve">Attention; maintenez les pneus à la bonne pression, de 3,5 a 4,0 bars. Vous aurez ainsi une faible résistance au roulement et une résistance à l'usure plus importante.</t>
  </si>
  <si>
    <t xml:space="preserve">a= exposition au vent, en surface, du cycliste et du vélo en m^2.</t>
  </si>
  <si>
    <t xml:space="preserve">cw= coefficient de résistance à l'air</t>
  </si>
  <si>
    <t xml:space="preserve">r= rendement chaîne de transmission</t>
  </si>
  <si>
    <t xml:space="preserve">Pour, par exemple, un vélo mixte (à assise droite), les valeurs moyennes sont les suivantes :</t>
  </si>
  <si>
    <t xml:space="preserve">m=100 kg rw=0,006 v=5,5m/s^2 sml=1,2 a=0,9m^2 cw=0,8 r=0,9</t>
  </si>
  <si>
    <t xml:space="preserve">D'où, on en déduit que : p=116 watts.</t>
  </si>
  <si>
    <t xml:space="preserve">Avec un changement de coefficient de, par exemple, 0,006 en 0,005, p devient égal à 110 watts.</t>
  </si>
  <si>
    <t xml:space="preserve">La résistance à l'air l'emporte nettement, comme nous le voyons, sur la résistance au roulement même à de faibles vitesses.</t>
  </si>
  <si>
    <t xml:space="preserve">Si l'on prend un tracteur + semi et si l'on appelle "g" la cesure entre</t>
  </si>
  <si>
    <t xml:space="preserve">revetement</t>
  </si>
  <si>
    <t xml:space="preserve">coef roulement</t>
  </si>
  <si>
    <t xml:space="preserve">ar. cabine et av. semi et "d" la hauteur moyenne (axe des roues et</t>
  </si>
  <si>
    <t xml:space="preserve">voiture</t>
  </si>
  <si>
    <t xml:space="preserve">beton asphalte</t>
  </si>
  <si>
    <t xml:space="preserve">sommet de la remorque) on constate que l'évolution de la trainée est</t>
  </si>
  <si>
    <t xml:space="preserve">macadam roulé</t>
  </si>
  <si>
    <t xml:space="preserve">linéaire à dérapage nul de 0,7 à 0,9 pour g/d de 0 à 0.4</t>
  </si>
  <si>
    <t xml:space="preserve">macadam au goudron</t>
  </si>
  <si>
    <t xml:space="preserve">au dela de 0.4 et jusqu'a 0.6 la trainée est stable à 0,9</t>
  </si>
  <si>
    <t xml:space="preserve">chemin de terre </t>
  </si>
  <si>
    <t xml:space="preserve">Avec une cabine équipée d'un déflecteur de toiture et de déflecteurs</t>
  </si>
  <si>
    <t xml:space="preserve">latéraux on peut avoir une trainée de 0.55 à 0.6</t>
  </si>
  <si>
    <t xml:space="preserve">camion</t>
  </si>
  <si>
    <t xml:space="preserve">camion sur beton </t>
  </si>
  <si>
    <t xml:space="preserve">0,006 à 0,01</t>
  </si>
  <si>
    <t xml:space="preserve">Le tracteur seul avec une remorque plate a une trainée de 0,5 environ</t>
  </si>
  <si>
    <t xml:space="preserve">camion sur asphalte</t>
  </si>
  <si>
    <t xml:space="preserve">0,006 à 0,02</t>
  </si>
  <si>
    <t xml:space="preserve">train</t>
  </si>
  <si>
    <t xml:space="preserve">roue sur rail</t>
  </si>
  <si>
    <t xml:space="preserve">0,001 à 0,002</t>
  </si>
  <si>
    <t xml:space="preserve">vehicules</t>
  </si>
  <si>
    <t xml:space="preserve">cx</t>
  </si>
  <si>
    <t xml:space="preserve">Surface front</t>
  </si>
  <si>
    <t xml:space="preserve">audi A8 </t>
  </si>
  <si>
    <t xml:space="preserve">porche 911</t>
  </si>
  <si>
    <t xml:space="preserve">terrain</t>
  </si>
  <si>
    <t xml:space="preserve">roue adherence</t>
  </si>
  <si>
    <t xml:space="preserve">0,14 à 0,24</t>
  </si>
  <si>
    <t xml:space="preserve">merc c 200 D</t>
  </si>
  <si>
    <t xml:space="preserve">moto CB900</t>
  </si>
  <si>
    <t xml:space="preserve">masse vol: g/litres</t>
  </si>
  <si>
    <t xml:space="preserve">PCI kJ/kg</t>
  </si>
  <si>
    <t xml:space="preserve">moto serie actuel</t>
  </si>
  <si>
    <t xml:space="preserve">0,38 à 0,40</t>
  </si>
  <si>
    <t xml:space="preserve">gazole hiver à 15°</t>
  </si>
  <si>
    <t xml:space="preserve">825 g/l</t>
  </si>
  <si>
    <t xml:space="preserve">gazole</t>
  </si>
  <si>
    <t xml:space="preserve">815 à 855</t>
  </si>
  <si>
    <t xml:space="preserve">essence sans plomb</t>
  </si>
  <si>
    <t xml:space="preserve">720 à 775</t>
  </si>
  <si>
    <t xml:space="preserve">ordianire</t>
  </si>
  <si>
    <t xml:space="preserve">715 à 765</t>
  </si>
  <si>
    <t xml:space="preserve">super</t>
  </si>
  <si>
    <t xml:space="preserve">730 à 780</t>
  </si>
  <si>
    <t xml:space="preserve">masse vol air</t>
  </si>
  <si>
    <t xml:space="preserve">pat 25°</t>
  </si>
  <si>
    <t xml:space="preserve">Conso Spé</t>
  </si>
  <si>
    <t xml:space="preserve">moteur</t>
  </si>
  <si>
    <t xml:space="preserve">g/ch/heures</t>
  </si>
  <si>
    <t xml:space="preserve">g/kw/h</t>
  </si>
  <si>
    <t xml:space="preserve">MIDS 06 35 40 (ancien)</t>
  </si>
  <si>
    <t xml:space="preserve">de 150 à 170</t>
  </si>
  <si>
    <t xml:space="preserve">203 à 230</t>
  </si>
  <si>
    <t xml:space="preserve">Puis Kw / ch</t>
  </si>
  <si>
    <t xml:space="preserve">moteur camion euro 2</t>
  </si>
  <si>
    <t xml:space="preserve">190 à 210</t>
  </si>
  <si>
    <t xml:space="preserve">En 1980, cette valeur était en moyenne de 14 à 16 kg/t. Grâce aux recherches menées par les manufacturiers (en particulier par la société Michelin) sur la forme de la bande de roulement ou les types de gomme, une valeur de 8 à 9 kg/t a pu être obtenue en respectant la sécurité et la longévité du pneumatique. </t>
  </si>
  <si>
    <t xml:space="preserve">Voici quelques données que nous utilisons dans nos calculs :</t>
  </si>
  <si>
    <t xml:space="preserve">mail de RVI</t>
  </si>
  <si>
    <t xml:space="preserve">PREMIUM (VI carrossé)</t>
  </si>
  <si>
    <t xml:space="preserve">surface frontale : 8 m2 (solo), 9 m2 (porteur-remorqueur, tracteur)</t>
  </si>
  <si>
    <t xml:space="preserve">Cx : 0.79</t>
  </si>
  <si>
    <t xml:space="preserve">Nous ne tenons pas compte du vent latéral car nous faisons des calculs comparatifs.</t>
  </si>
  <si>
    <t xml:space="preserve">On peut moduler le SCx ou le coefficient de résistance au roulement des pneumatiques pour tenir compte du vent latéral dans des études compararatives</t>
  </si>
  <si>
    <t xml:space="preserve">mesure/calcul.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</si>
</sst>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0"/>
    <numFmt numFmtId="166" formatCode="#,##0"/>
    <numFmt numFmtId="167" formatCode="0.00"/>
    <numFmt numFmtId="168" formatCode="#,##0.00"/>
    <numFmt numFmtId="169" formatCode="#,##0.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Arial"/>
      <family val="0"/>
      <charset val="1"/>
    </font>
    <font>
      <sz val="10.25"/>
      <color rgb="FF000000"/>
      <name val="Arial"/>
      <family val="2"/>
    </font>
    <font>
      <sz val="9.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CC99"/>
        <bgColor rgb="FFC0C0C0"/>
      </patternFill>
    </fill>
    <fill>
      <patternFill patternType="solid">
        <fgColor rgb="FFCC99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7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6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69172297297297"/>
          <c:y val="0.0731119723473342"/>
          <c:w val="0.718820382882883"/>
          <c:h val="0.800356132816592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courbes!$B$5:$B$7</c:f>
              <c:numCache>
                <c:formatCode>General</c:formatCode>
                <c:ptCount val="3"/>
                <c:pt idx="0">
                  <c:v>626.854074074074</c:v>
                </c:pt>
                <c:pt idx="1">
                  <c:v>792.78</c:v>
                </c:pt>
                <c:pt idx="2">
                  <c:v>1249.0762962963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courbes!$C$5:$C$7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yVal>
          <c:smooth val="1"/>
        </c:ser>
        <c:ser>
          <c:idx val="2"/>
          <c:order val="2"/>
          <c:spPr>
            <a:solidFill>
              <a:srgbClr val="ffff00"/>
            </a:solidFill>
            <a:ln w="12600">
              <a:solidFill>
                <a:srgbClr val="fff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courbes!$D$5:$D$7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</c:ser>
        <c:ser>
          <c:idx val="3"/>
          <c:order val="3"/>
          <c:spPr>
            <a:solidFill>
              <a:srgbClr val="00ffff"/>
            </a:solidFill>
            <a:ln w="12600">
              <a:solidFill>
                <a:srgbClr val="00ff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courbes!$E$5:$E$7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yVal>
          <c:smooth val="1"/>
        </c:ser>
        <c:ser>
          <c:idx val="4"/>
          <c:order val="4"/>
          <c:spPr>
            <a:solidFill>
              <a:srgbClr val="800080"/>
            </a:solidFill>
            <a:ln w="12600">
              <a:solidFill>
                <a:srgbClr val="80008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courbes!$F$5:$F$7</c:f>
              <c:numCache>
                <c:formatCode>General</c:formatCode>
                <c:ptCount val="3"/>
                <c:pt idx="0">
                  <c:v>372.78</c:v>
                </c:pt>
                <c:pt idx="1">
                  <c:v>372.78</c:v>
                </c:pt>
                <c:pt idx="2">
                  <c:v>372.78</c:v>
                </c:pt>
              </c:numCache>
            </c:numRef>
          </c:yVal>
          <c:smooth val="1"/>
        </c:ser>
        <c:ser>
          <c:idx val="5"/>
          <c:order val="5"/>
          <c:spPr>
            <a:solidFill>
              <a:srgbClr val="800000"/>
            </a:solidFill>
            <a:ln w="126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courbes!$G$5:$G$7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yVal>
          <c:smooth val="1"/>
        </c:ser>
        <c:ser>
          <c:idx val="6"/>
          <c:order val="6"/>
          <c:spPr>
            <a:solidFill>
              <a:srgbClr val="008080"/>
            </a:solidFill>
            <a:ln w="12600">
              <a:solidFill>
                <a:srgbClr val="00808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courbes!$H$5:$H$7</c:f>
              <c:numCache>
                <c:formatCode>General</c:formatCode>
                <c:ptCount val="3"/>
                <c:pt idx="0">
                  <c:v>254.074074074074</c:v>
                </c:pt>
                <c:pt idx="1">
                  <c:v>420</c:v>
                </c:pt>
                <c:pt idx="2">
                  <c:v>876.296296296297</c:v>
                </c:pt>
              </c:numCache>
            </c:numRef>
          </c:yVal>
          <c:smooth val="1"/>
        </c:ser>
        <c:ser>
          <c:idx val="7"/>
          <c:order val="7"/>
          <c:spPr>
            <a:solidFill>
              <a:srgbClr val="0000ff"/>
            </a:solidFill>
            <a:ln w="126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courbes!$I$5:$I$7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yVal>
          <c:smooth val="1"/>
        </c:ser>
        <c:ser>
          <c:idx val="8"/>
          <c:order val="8"/>
          <c:spPr>
            <a:solidFill>
              <a:srgbClr val="00ccff"/>
            </a:solidFill>
            <a:ln w="12600">
              <a:solidFill>
                <a:srgbClr val="00cc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courbes!$A$5:$A$7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courbes!$J$5:$J$7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</c:ser>
        <c:axId val="57511188"/>
        <c:axId val="79640694"/>
      </c:scatterChart>
      <c:valAx>
        <c:axId val="575111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25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9640694"/>
        <c:crosses val="autoZero"/>
        <c:crossBetween val="midCat"/>
      </c:valAx>
      <c:valAx>
        <c:axId val="79640694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25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7511188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855956587490276"/>
          <c:y val="0.223947075905977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365760</xdr:colOff>
      <xdr:row>10</xdr:row>
      <xdr:rowOff>45720</xdr:rowOff>
    </xdr:from>
    <xdr:to>
      <xdr:col>10</xdr:col>
      <xdr:colOff>319680</xdr:colOff>
      <xdr:row>30</xdr:row>
      <xdr:rowOff>129240</xdr:rowOff>
    </xdr:to>
    <xdr:graphicFrame>
      <xdr:nvGraphicFramePr>
        <xdr:cNvPr id="0" name="Chart 1"/>
        <xdr:cNvGraphicFramePr/>
      </xdr:nvGraphicFramePr>
      <xdr:xfrm>
        <a:off x="2577240" y="1721880"/>
        <a:ext cx="5114520" cy="343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L11" activeCellId="0" sqref="L11"/>
    </sheetView>
  </sheetViews>
  <sheetFormatPr defaultRowHeight="13.2" outlineLevelRow="0" outlineLevelCol="0"/>
  <cols>
    <col collapsed="false" customWidth="true" hidden="false" outlineLevel="0" max="1" min="1" style="0" width="1.66"/>
    <col collapsed="false" customWidth="true" hidden="false" outlineLevel="0" max="2" min="2" style="0" width="27.56"/>
    <col collapsed="false" customWidth="true" hidden="false" outlineLevel="0" max="3" min="3" style="0" width="3.33"/>
    <col collapsed="false" customWidth="true" hidden="false" outlineLevel="0" max="4" min="4" style="0" width="19.11"/>
    <col collapsed="false" customWidth="true" hidden="false" outlineLevel="0" max="5" min="5" style="0" width="2.89"/>
    <col collapsed="false" customWidth="true" hidden="false" outlineLevel="0" max="6" min="6" style="0" width="24"/>
    <col collapsed="false" customWidth="true" hidden="false" outlineLevel="0" max="7" min="7" style="0" width="3.33"/>
    <col collapsed="false" customWidth="true" hidden="false" outlineLevel="0" max="8" min="8" style="0" width="22.89"/>
    <col collapsed="false" customWidth="true" hidden="false" outlineLevel="0" max="9" min="9" style="0" width="2.89"/>
    <col collapsed="false" customWidth="true" hidden="false" outlineLevel="0" max="10" min="10" style="0" width="23.01"/>
    <col collapsed="false" customWidth="true" hidden="false" outlineLevel="0" max="11" min="11" style="0" width="9.66"/>
    <col collapsed="false" customWidth="true" hidden="false" outlineLevel="0" max="1025" min="12" style="0" width="10.45"/>
  </cols>
  <sheetData>
    <row r="1" s="7" customFormat="true" ht="21.75" hidden="false" customHeight="true" outlineLevel="0" collapsed="false">
      <c r="A1" s="1"/>
      <c r="B1" s="2" t="s">
        <v>0</v>
      </c>
      <c r="C1" s="2"/>
      <c r="D1" s="2"/>
      <c r="E1" s="3"/>
      <c r="F1" s="4" t="s">
        <v>1</v>
      </c>
      <c r="G1" s="4"/>
      <c r="H1" s="4"/>
      <c r="I1" s="3"/>
      <c r="J1" s="5" t="s">
        <v>2</v>
      </c>
      <c r="K1" s="6"/>
      <c r="L1" s="1"/>
    </row>
    <row r="2" s="14" customFormat="true" ht="15.6" hidden="false" customHeight="false" outlineLevel="0" collapsed="false">
      <c r="A2" s="8"/>
      <c r="B2" s="9" t="s">
        <v>3</v>
      </c>
      <c r="C2" s="9"/>
      <c r="D2" s="10" t="n">
        <v>1300</v>
      </c>
      <c r="E2" s="8"/>
      <c r="F2" s="11" t="s">
        <v>4</v>
      </c>
      <c r="G2" s="9"/>
      <c r="H2" s="12" t="n">
        <v>0.95</v>
      </c>
      <c r="I2" s="8"/>
      <c r="J2" s="11" t="s">
        <v>5</v>
      </c>
      <c r="K2" s="13" t="n">
        <v>110</v>
      </c>
      <c r="L2" s="8"/>
    </row>
    <row r="3" s="14" customFormat="true" ht="15.6" hidden="false" customHeight="false" outlineLevel="0" collapsed="false">
      <c r="A3" s="8"/>
      <c r="B3" s="9" t="s">
        <v>6</v>
      </c>
      <c r="C3" s="9"/>
      <c r="D3" s="10" t="n">
        <v>200</v>
      </c>
      <c r="E3" s="8"/>
      <c r="F3" s="9" t="s">
        <v>7</v>
      </c>
      <c r="G3" s="9"/>
      <c r="H3" s="15" t="n">
        <v>0.5</v>
      </c>
      <c r="I3" s="8"/>
      <c r="J3" s="11" t="s">
        <v>8</v>
      </c>
      <c r="K3" s="13" t="n">
        <v>0</v>
      </c>
      <c r="L3" s="8"/>
    </row>
    <row r="4" s="14" customFormat="true" ht="15.6" hidden="false" customHeight="false" outlineLevel="0" collapsed="false">
      <c r="A4" s="8"/>
      <c r="B4" s="16" t="s">
        <v>9</v>
      </c>
      <c r="C4" s="17"/>
      <c r="D4" s="18" t="n">
        <f aca="false">D2+D3</f>
        <v>1500</v>
      </c>
      <c r="E4" s="8"/>
      <c r="F4" s="9" t="s">
        <v>10</v>
      </c>
      <c r="G4" s="9"/>
      <c r="H4" s="15" t="n">
        <v>3.79</v>
      </c>
      <c r="I4" s="8"/>
      <c r="J4" s="19" t="s">
        <v>11</v>
      </c>
      <c r="K4" s="20" t="n">
        <f aca="false">(K2)*10/36</f>
        <v>30.5555555555556</v>
      </c>
      <c r="L4" s="8" t="s">
        <v>12</v>
      </c>
    </row>
    <row r="5" s="14" customFormat="true" ht="15.6" hidden="false" customHeight="false" outlineLevel="0" collapsed="false">
      <c r="A5" s="8"/>
      <c r="B5" s="21"/>
      <c r="C5" s="21"/>
      <c r="D5" s="21"/>
      <c r="E5" s="8"/>
      <c r="F5" s="17" t="s">
        <v>13</v>
      </c>
      <c r="G5" s="17"/>
      <c r="H5" s="22" t="n">
        <f aca="false">H3*H4</f>
        <v>1.895</v>
      </c>
      <c r="I5" s="8"/>
      <c r="J5" s="17" t="s">
        <v>14</v>
      </c>
      <c r="K5" s="20" t="n">
        <f aca="false">(K2+K3)*10/36</f>
        <v>30.5555555555556</v>
      </c>
      <c r="L5" s="8"/>
    </row>
    <row r="6" s="14" customFormat="true" ht="15.6" hidden="false" customHeight="false" outlineLevel="0" collapsed="false">
      <c r="A6" s="8"/>
      <c r="B6" s="9" t="s">
        <v>15</v>
      </c>
      <c r="C6" s="9"/>
      <c r="D6" s="12" t="n">
        <v>0.013</v>
      </c>
      <c r="E6" s="8"/>
      <c r="F6" s="16" t="s">
        <v>16</v>
      </c>
      <c r="G6" s="17"/>
      <c r="H6" s="18" t="n">
        <f aca="false">(30*K4)/(3.14116*D7*(1/H5))</f>
        <v>1906.92054169021</v>
      </c>
      <c r="I6" s="8"/>
      <c r="J6" s="23"/>
      <c r="K6" s="23"/>
      <c r="L6" s="8"/>
    </row>
    <row r="7" s="14" customFormat="true" ht="15.6" hidden="false" customHeight="false" outlineLevel="0" collapsed="false">
      <c r="A7" s="8"/>
      <c r="B7" s="9" t="s">
        <v>17</v>
      </c>
      <c r="C7" s="9"/>
      <c r="D7" s="24" t="n">
        <v>0.29</v>
      </c>
      <c r="E7" s="8"/>
      <c r="F7" s="25"/>
      <c r="G7" s="25"/>
      <c r="H7" s="25"/>
      <c r="I7" s="8"/>
      <c r="J7" s="11" t="s">
        <v>18</v>
      </c>
      <c r="K7" s="26" t="n">
        <v>0</v>
      </c>
      <c r="L7" s="0"/>
    </row>
    <row r="8" s="14" customFormat="true" ht="15.6" hidden="false" customHeight="false" outlineLevel="0" collapsed="false">
      <c r="A8" s="8"/>
      <c r="B8" s="21"/>
      <c r="C8" s="21"/>
      <c r="D8" s="21"/>
      <c r="E8" s="8"/>
      <c r="F8" s="11" t="s">
        <v>19</v>
      </c>
      <c r="G8" s="9"/>
      <c r="H8" s="13" t="n">
        <v>210</v>
      </c>
      <c r="I8" s="8"/>
      <c r="J8" s="27" t="s">
        <v>20</v>
      </c>
      <c r="K8" s="28"/>
      <c r="L8" s="8"/>
    </row>
    <row r="9" s="14" customFormat="true" ht="15.6" hidden="false" customHeight="false" outlineLevel="0" collapsed="false">
      <c r="A9" s="8"/>
      <c r="B9" s="9" t="s">
        <v>21</v>
      </c>
      <c r="C9" s="9"/>
      <c r="D9" s="24" t="n">
        <v>2.59</v>
      </c>
      <c r="E9" s="8"/>
      <c r="F9" s="17" t="s">
        <v>22</v>
      </c>
      <c r="G9" s="17"/>
      <c r="H9" s="17" t="n">
        <f aca="false">(1000*3600)/(H8*H12)</f>
        <v>0.403361344537815</v>
      </c>
      <c r="I9" s="8"/>
      <c r="J9" s="11" t="s">
        <v>23</v>
      </c>
      <c r="K9" s="29" t="n">
        <v>-1</v>
      </c>
      <c r="L9" s="8"/>
    </row>
    <row r="10" s="14" customFormat="true" ht="15.6" hidden="false" customHeight="false" outlineLevel="0" collapsed="false">
      <c r="A10" s="8"/>
      <c r="B10" s="9" t="s">
        <v>24</v>
      </c>
      <c r="C10" s="9"/>
      <c r="D10" s="24" t="n">
        <v>0.3</v>
      </c>
      <c r="E10" s="8"/>
      <c r="F10" s="30" t="s">
        <v>25</v>
      </c>
      <c r="G10" s="30"/>
      <c r="H10" s="31" t="n">
        <v>4</v>
      </c>
      <c r="I10" s="8"/>
      <c r="J10" s="23"/>
      <c r="K10" s="23"/>
      <c r="L10" s="8"/>
    </row>
    <row r="11" s="14" customFormat="true" ht="15.6" hidden="false" customHeight="false" outlineLevel="0" collapsed="false">
      <c r="A11" s="8"/>
      <c r="B11" s="16" t="s">
        <v>26</v>
      </c>
      <c r="C11" s="17"/>
      <c r="D11" s="22" t="n">
        <f aca="false">D9*D10</f>
        <v>0.777</v>
      </c>
      <c r="E11" s="8"/>
      <c r="F11" s="9" t="s">
        <v>27</v>
      </c>
      <c r="G11" s="9"/>
      <c r="H11" s="32" t="n">
        <v>825</v>
      </c>
      <c r="I11" s="8"/>
      <c r="J11" s="33" t="s">
        <v>28</v>
      </c>
      <c r="K11" s="34" t="n">
        <v>0</v>
      </c>
      <c r="L11" s="8"/>
    </row>
    <row r="12" s="14" customFormat="true" ht="15.6" hidden="false" customHeight="false" outlineLevel="0" collapsed="false">
      <c r="A12" s="8"/>
      <c r="B12" s="9" t="s">
        <v>29</v>
      </c>
      <c r="C12" s="9"/>
      <c r="D12" s="12" t="n">
        <v>1.29</v>
      </c>
      <c r="E12" s="8" t="s">
        <v>30</v>
      </c>
      <c r="F12" s="9" t="s">
        <v>31</v>
      </c>
      <c r="G12" s="9"/>
      <c r="H12" s="32" t="n">
        <v>42500</v>
      </c>
      <c r="I12" s="8"/>
      <c r="J12" s="23" t="s">
        <v>32</v>
      </c>
      <c r="K12" s="23"/>
      <c r="L12" s="8"/>
    </row>
    <row r="13" s="14" customFormat="true" ht="13.2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14" customFormat="true" ht="15.6" hidden="false" customHeight="false" outlineLevel="0" collapsed="false">
      <c r="A14" s="8"/>
      <c r="B14" s="35" t="s">
        <v>33</v>
      </c>
      <c r="C14" s="36" t="s">
        <v>34</v>
      </c>
      <c r="D14" s="35" t="s">
        <v>35</v>
      </c>
      <c r="E14" s="37" t="s">
        <v>36</v>
      </c>
      <c r="F14" s="35" t="s">
        <v>37</v>
      </c>
      <c r="G14" s="37" t="s">
        <v>36</v>
      </c>
      <c r="H14" s="35" t="s">
        <v>38</v>
      </c>
      <c r="I14" s="37" t="s">
        <v>36</v>
      </c>
      <c r="J14" s="35" t="s">
        <v>39</v>
      </c>
      <c r="K14" s="8"/>
      <c r="L14" s="8"/>
    </row>
    <row r="15" s="14" customFormat="true" ht="17.4" hidden="false" customHeight="false" outlineLevel="0" collapsed="false">
      <c r="A15" s="8"/>
      <c r="B15" s="38" t="n">
        <f aca="false">D15+F15+H15+J15</f>
        <v>51.2053680555556</v>
      </c>
      <c r="C15" s="17"/>
      <c r="D15" s="22" t="n">
        <f aca="false">D4*9.81*K9/(100*10)</f>
        <v>-14.715</v>
      </c>
      <c r="E15" s="22"/>
      <c r="F15" s="22" t="n">
        <f aca="false">D6*D4*9.81/10</f>
        <v>19.1295</v>
      </c>
      <c r="G15" s="22"/>
      <c r="H15" s="22" t="n">
        <f aca="false">(D11*D12*K5*K5)/(10*2)</f>
        <v>46.7908680555556</v>
      </c>
      <c r="I15" s="22"/>
      <c r="J15" s="22" t="n">
        <f aca="false">K7*D4/10</f>
        <v>0</v>
      </c>
      <c r="K15" s="8"/>
      <c r="L15" s="39"/>
    </row>
    <row r="16" s="14" customFormat="true" ht="13.2" hidden="false" customHeight="false" outlineLevel="0" collapsed="false">
      <c r="A16" s="8"/>
      <c r="B16" s="8"/>
      <c r="C16" s="8"/>
      <c r="D16" s="8" t="s">
        <v>40</v>
      </c>
      <c r="E16" s="8"/>
      <c r="F16" s="8" t="s">
        <v>41</v>
      </c>
      <c r="G16" s="8"/>
      <c r="H16" s="8" t="s">
        <v>42</v>
      </c>
      <c r="I16" s="8"/>
      <c r="J16" s="40" t="s">
        <v>43</v>
      </c>
      <c r="K16" s="8"/>
      <c r="L16" s="8"/>
    </row>
    <row r="17" s="14" customFormat="true" ht="15.6" hidden="false" customHeight="false" outlineLevel="0" collapsed="false">
      <c r="A17" s="8"/>
      <c r="B17" s="35" t="s">
        <v>44</v>
      </c>
      <c r="C17" s="41" t="s">
        <v>34</v>
      </c>
      <c r="D17" s="41" t="s">
        <v>45</v>
      </c>
      <c r="E17" s="41" t="s">
        <v>46</v>
      </c>
      <c r="F17" s="41" t="s">
        <v>47</v>
      </c>
      <c r="G17" s="41" t="s">
        <v>48</v>
      </c>
      <c r="H17" s="41" t="s">
        <v>4</v>
      </c>
      <c r="I17" s="8"/>
      <c r="J17" s="42" t="s">
        <v>49</v>
      </c>
      <c r="K17" s="43" t="n">
        <f aca="false">B18/0.736</f>
        <v>22.3771234033781</v>
      </c>
      <c r="L17" s="8"/>
    </row>
    <row r="18" s="14" customFormat="true" ht="17.4" hidden="false" customHeight="false" outlineLevel="0" collapsed="false">
      <c r="A18" s="8"/>
      <c r="B18" s="38" t="n">
        <f aca="false">(D18*F18/(H18*100))+K11</f>
        <v>16.4695628248863</v>
      </c>
      <c r="C18" s="44"/>
      <c r="D18" s="45" t="n">
        <f aca="false">B15</f>
        <v>51.2053680555556</v>
      </c>
      <c r="E18" s="45"/>
      <c r="F18" s="45" t="n">
        <f aca="false">K4</f>
        <v>30.5555555555556</v>
      </c>
      <c r="G18" s="45"/>
      <c r="H18" s="45" t="n">
        <f aca="false">H2</f>
        <v>0.95</v>
      </c>
      <c r="I18" s="8"/>
      <c r="J18" s="22" t="s">
        <v>50</v>
      </c>
      <c r="K18" s="46" t="n">
        <f aca="false">((B18*30)/(3.14116*H6))*(1000/10)</f>
        <v>8.24860810226974</v>
      </c>
      <c r="L18" s="8"/>
    </row>
    <row r="19" s="14" customFormat="true" ht="13.2" hidden="false" customHeight="false" outlineLevel="0" collapsed="false">
      <c r="A19" s="8"/>
      <c r="B19" s="40" t="s">
        <v>51</v>
      </c>
      <c r="C19" s="8"/>
      <c r="D19" s="8"/>
      <c r="E19" s="8"/>
      <c r="F19" s="8"/>
      <c r="G19" s="8"/>
      <c r="H19" s="8"/>
      <c r="I19" s="8"/>
      <c r="J19" s="8"/>
      <c r="K19" s="47"/>
      <c r="L19" s="8"/>
    </row>
    <row r="20" s="14" customFormat="true" ht="15.6" hidden="false" customHeight="false" outlineLevel="0" collapsed="false">
      <c r="A20" s="8"/>
      <c r="B20" s="35" t="s">
        <v>52</v>
      </c>
      <c r="C20" s="44" t="s">
        <v>34</v>
      </c>
      <c r="D20" s="41" t="s">
        <v>53</v>
      </c>
      <c r="E20" s="41" t="s">
        <v>48</v>
      </c>
      <c r="F20" s="41" t="s">
        <v>27</v>
      </c>
      <c r="G20" s="8"/>
      <c r="H20" s="48"/>
      <c r="I20" s="48"/>
      <c r="J20" s="8"/>
      <c r="K20" s="8"/>
      <c r="L20" s="8"/>
    </row>
    <row r="21" s="14" customFormat="true" ht="17.4" hidden="false" customHeight="false" outlineLevel="0" collapsed="false">
      <c r="A21" s="8"/>
      <c r="B21" s="38" t="n">
        <f aca="false">D21/F21</f>
        <v>3.81113850493236</v>
      </c>
      <c r="C21" s="45"/>
      <c r="D21" s="45" t="n">
        <f aca="false">B28</f>
        <v>3144.1892665692</v>
      </c>
      <c r="E21" s="45"/>
      <c r="F21" s="45" t="n">
        <f aca="false">H11</f>
        <v>825</v>
      </c>
      <c r="G21" s="8"/>
      <c r="H21" s="48"/>
      <c r="I21" s="48"/>
      <c r="J21" s="8"/>
      <c r="K21" s="8"/>
      <c r="L21" s="0"/>
    </row>
    <row r="22" customFormat="false" ht="13.2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16" t="s">
        <v>54</v>
      </c>
      <c r="K22" s="16" t="n">
        <f aca="false">K23/1000</f>
        <v>0.0183203418975434</v>
      </c>
      <c r="L22" s="8"/>
    </row>
    <row r="23" customFormat="false" ht="13.2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45" t="s">
        <v>55</v>
      </c>
      <c r="K23" s="45" t="n">
        <f aca="false">K24/(H11/1000000)</f>
        <v>18.3203418975434</v>
      </c>
      <c r="L23" s="8"/>
    </row>
    <row r="24" customFormat="false" ht="13.2" hidden="false" customHeight="false" outlineLevel="0" collapsed="false">
      <c r="A24" s="8"/>
      <c r="B24" s="44" t="s">
        <v>56</v>
      </c>
      <c r="C24" s="44" t="s">
        <v>34</v>
      </c>
      <c r="D24" s="44" t="s">
        <v>57</v>
      </c>
      <c r="E24" s="44" t="s">
        <v>46</v>
      </c>
      <c r="F24" s="44" t="s">
        <v>58</v>
      </c>
      <c r="G24" s="8"/>
      <c r="H24" s="8"/>
      <c r="I24" s="8"/>
      <c r="J24" s="44" t="s">
        <v>59</v>
      </c>
      <c r="K24" s="44" t="n">
        <f aca="false">B25/((H6/60)*(H10/2))</f>
        <v>0.0151142820654733</v>
      </c>
      <c r="L24" s="8"/>
      <c r="M24" s="14" t="s">
        <v>60</v>
      </c>
    </row>
    <row r="25" customFormat="false" ht="13.2" hidden="false" customHeight="false" outlineLevel="0" collapsed="false">
      <c r="A25" s="8"/>
      <c r="B25" s="49" t="n">
        <f aca="false">D25*F25</f>
        <v>0.960724498118367</v>
      </c>
      <c r="C25" s="49"/>
      <c r="D25" s="49" t="n">
        <f aca="false">B18</f>
        <v>16.4695628248863</v>
      </c>
      <c r="E25" s="49"/>
      <c r="F25" s="49" t="n">
        <f aca="false">H8/3600</f>
        <v>0.0583333333333333</v>
      </c>
      <c r="G25" s="8"/>
      <c r="H25" s="8"/>
      <c r="I25" s="8"/>
      <c r="J25" s="8"/>
      <c r="K25" s="8"/>
      <c r="L25" s="8"/>
    </row>
    <row r="26" customFormat="false" ht="13.2" hidden="false" customHeight="false" outlineLevel="0" collapsed="false">
      <c r="A26" s="8"/>
      <c r="B26" s="50"/>
      <c r="C26" s="50"/>
      <c r="D26" s="50"/>
      <c r="E26" s="50"/>
      <c r="F26" s="50"/>
      <c r="G26" s="8"/>
      <c r="H26" s="8"/>
      <c r="I26" s="8"/>
      <c r="J26" s="44" t="s">
        <v>61</v>
      </c>
      <c r="K26" s="44" t="n">
        <f aca="false">K24*15</f>
        <v>0.226714230982099</v>
      </c>
      <c r="L26" s="8" t="s">
        <v>62</v>
      </c>
    </row>
    <row r="27" customFormat="false" ht="13.2" hidden="false" customHeight="false" outlineLevel="0" collapsed="false">
      <c r="A27" s="8"/>
      <c r="B27" s="49" t="s">
        <v>63</v>
      </c>
      <c r="C27" s="49" t="s">
        <v>34</v>
      </c>
      <c r="D27" s="49" t="s">
        <v>64</v>
      </c>
      <c r="E27" s="49" t="s">
        <v>46</v>
      </c>
      <c r="F27" s="49" t="s">
        <v>65</v>
      </c>
      <c r="G27" s="8"/>
      <c r="H27" s="8"/>
      <c r="I27" s="8"/>
      <c r="J27" s="44" t="s">
        <v>66</v>
      </c>
      <c r="K27" s="44" t="n">
        <f aca="false">K26/D12</f>
        <v>0.175747465877596</v>
      </c>
      <c r="L27" s="8"/>
    </row>
    <row r="28" customFormat="false" ht="13.2" hidden="false" customHeight="false" outlineLevel="0" collapsed="false">
      <c r="A28" s="8"/>
      <c r="B28" s="49" t="n">
        <f aca="false">D28*F28</f>
        <v>3144.1892665692</v>
      </c>
      <c r="C28" s="49"/>
      <c r="D28" s="49" t="n">
        <f aca="false">B25</f>
        <v>0.960724498118367</v>
      </c>
      <c r="E28" s="49"/>
      <c r="F28" s="49" t="n">
        <f aca="false">100*3600/K2</f>
        <v>3272.72727272727</v>
      </c>
      <c r="G28" s="8"/>
      <c r="H28" s="8"/>
      <c r="I28" s="8"/>
      <c r="J28" s="44" t="s">
        <v>67</v>
      </c>
      <c r="K28" s="44" t="n">
        <f aca="false">K27*H10</f>
        <v>0.702989863510385</v>
      </c>
      <c r="L28" s="8"/>
    </row>
    <row r="29" customFormat="false" ht="13.2" hidden="false" customHeight="false" outlineLevel="0" collapsed="false">
      <c r="A29" s="8"/>
      <c r="G29" s="8"/>
      <c r="H29" s="51"/>
      <c r="I29" s="51"/>
      <c r="K29" s="51"/>
      <c r="L29" s="8"/>
    </row>
    <row r="30" customFormat="false" ht="13.2" hidden="false" customHeight="false" outlineLevel="0" collapsed="false">
      <c r="A30" s="8"/>
      <c r="B30" s="52" t="s">
        <v>68</v>
      </c>
      <c r="C30" s="52"/>
      <c r="D30" s="30"/>
      <c r="F30" s="53" t="s">
        <v>69</v>
      </c>
      <c r="G30" s="53"/>
      <c r="H30" s="19"/>
      <c r="I30" s="51"/>
      <c r="J30" s="54" t="s">
        <v>70</v>
      </c>
      <c r="L30" s="8"/>
    </row>
    <row r="31" customFormat="false" ht="13.2" hidden="false" customHeight="false" outlineLevel="0" collapsed="false">
      <c r="A31" s="8"/>
      <c r="B31" s="14" t="s">
        <v>71</v>
      </c>
      <c r="E31" s="8"/>
      <c r="F31" s="55" t="s">
        <v>72</v>
      </c>
      <c r="G31" s="55"/>
      <c r="H31" s="55"/>
      <c r="I31" s="8"/>
      <c r="J31" s="0" t="s">
        <v>26</v>
      </c>
      <c r="K31" s="0" t="n">
        <v>0.777</v>
      </c>
      <c r="L31" s="8"/>
    </row>
    <row r="32" customFormat="false" ht="13.2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0" t="s">
        <v>73</v>
      </c>
      <c r="K32" s="0" t="s">
        <v>74</v>
      </c>
      <c r="L32" s="8"/>
    </row>
    <row r="33" customFormat="false" ht="13.2" hidden="false" customHeight="false" outlineLevel="0" collapsed="false">
      <c r="J33" s="0" t="s">
        <v>75</v>
      </c>
      <c r="K33" s="0" t="n">
        <v>172</v>
      </c>
    </row>
    <row r="34" customFormat="false" ht="13.2" hidden="false" customHeight="false" outlineLevel="0" collapsed="false">
      <c r="J34" s="0" t="s">
        <v>76</v>
      </c>
      <c r="K34" s="0" t="s">
        <v>77</v>
      </c>
    </row>
    <row r="35" customFormat="false" ht="13.2" hidden="false" customHeight="false" outlineLevel="0" collapsed="false">
      <c r="J35" s="0" t="s">
        <v>78</v>
      </c>
      <c r="K35" s="0" t="n">
        <v>3.79</v>
      </c>
    </row>
    <row r="36" customFormat="false" ht="13.2" hidden="false" customHeight="false" outlineLevel="0" collapsed="false">
      <c r="J36" s="0" t="n">
        <v>1</v>
      </c>
      <c r="K36" s="0" t="n">
        <v>3.45</v>
      </c>
    </row>
    <row r="37" customFormat="false" ht="13.2" hidden="false" customHeight="false" outlineLevel="0" collapsed="false">
      <c r="J37" s="0" t="n">
        <v>2</v>
      </c>
      <c r="K37" s="0" t="n">
        <v>1.87</v>
      </c>
    </row>
    <row r="38" customFormat="false" ht="13.2" hidden="false" customHeight="false" outlineLevel="0" collapsed="false">
      <c r="J38" s="0" t="n">
        <v>3</v>
      </c>
      <c r="K38" s="0" t="n">
        <v>1.15</v>
      </c>
    </row>
    <row r="39" customFormat="false" ht="13.2" hidden="false" customHeight="false" outlineLevel="0" collapsed="false">
      <c r="J39" s="0" t="n">
        <v>4</v>
      </c>
      <c r="K39" s="0" t="n">
        <v>0.82</v>
      </c>
    </row>
    <row r="40" customFormat="false" ht="13.2" hidden="false" customHeight="false" outlineLevel="0" collapsed="false">
      <c r="J40" s="0" t="n">
        <v>5</v>
      </c>
      <c r="K40" s="0" t="n">
        <v>0.66</v>
      </c>
    </row>
    <row r="41" customFormat="false" ht="13.2" hidden="false" customHeight="false" outlineLevel="0" collapsed="false">
      <c r="J41" s="0" t="s">
        <v>79</v>
      </c>
      <c r="K41" s="0" t="n">
        <v>0.284</v>
      </c>
    </row>
    <row r="42" customFormat="false" ht="13.2" hidden="false" customHeight="false" outlineLevel="0" collapsed="false">
      <c r="J42" s="0" t="s">
        <v>80</v>
      </c>
      <c r="K42" s="0" t="n">
        <v>0.31</v>
      </c>
    </row>
    <row r="43" customFormat="false" ht="13.2" hidden="false" customHeight="false" outlineLevel="0" collapsed="false">
      <c r="J43" s="0" t="s">
        <v>81</v>
      </c>
      <c r="K43" s="0" t="n">
        <v>187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2" outlineLevelRow="0" outlineLevelCol="0"/>
  <cols>
    <col collapsed="false" customWidth="true" hidden="false" outlineLevel="0" max="1" min="1" style="14" width="1"/>
    <col collapsed="false" customWidth="true" hidden="false" outlineLevel="0" max="2" min="2" style="14" width="27.45"/>
    <col collapsed="false" customWidth="true" hidden="false" outlineLevel="0" max="3" min="3" style="14" width="2.99"/>
    <col collapsed="false" customWidth="true" hidden="false" outlineLevel="0" max="4" min="4" style="14" width="16.67"/>
    <col collapsed="false" customWidth="true" hidden="false" outlineLevel="0" max="5" min="5" style="14" width="3.66"/>
    <col collapsed="false" customWidth="true" hidden="false" outlineLevel="0" max="6" min="6" style="14" width="23.44"/>
    <col collapsed="false" customWidth="true" hidden="false" outlineLevel="0" max="7" min="7" style="14" width="3.45"/>
    <col collapsed="false" customWidth="true" hidden="false" outlineLevel="0" max="8" min="8" style="14" width="22.66"/>
    <col collapsed="false" customWidth="true" hidden="false" outlineLevel="0" max="9" min="9" style="14" width="3.56"/>
    <col collapsed="false" customWidth="true" hidden="false" outlineLevel="0" max="10" min="10" style="14" width="23.88"/>
    <col collapsed="false" customWidth="true" hidden="false" outlineLevel="0" max="11" min="11" style="14" width="10.33"/>
    <col collapsed="false" customWidth="true" hidden="false" outlineLevel="0" max="1025" min="12" style="14" width="11.45"/>
  </cols>
  <sheetData>
    <row r="1" s="7" customFormat="true" ht="21.75" hidden="false" customHeight="true" outlineLevel="0" collapsed="false">
      <c r="A1" s="1"/>
      <c r="B1" s="2" t="s">
        <v>0</v>
      </c>
      <c r="C1" s="2"/>
      <c r="D1" s="2"/>
      <c r="E1" s="3"/>
      <c r="F1" s="4" t="s">
        <v>1</v>
      </c>
      <c r="G1" s="4"/>
      <c r="H1" s="4"/>
      <c r="I1" s="3"/>
      <c r="J1" s="5" t="s">
        <v>2</v>
      </c>
      <c r="K1" s="6"/>
      <c r="L1" s="1"/>
    </row>
    <row r="2" customFormat="false" ht="15.6" hidden="false" customHeight="false" outlineLevel="0" collapsed="false">
      <c r="A2" s="8"/>
      <c r="B2" s="9" t="s">
        <v>3</v>
      </c>
      <c r="C2" s="9"/>
      <c r="D2" s="10" t="n">
        <v>8000</v>
      </c>
      <c r="E2" s="8"/>
      <c r="F2" s="11" t="s">
        <v>4</v>
      </c>
      <c r="G2" s="9"/>
      <c r="H2" s="12" t="n">
        <v>0.96</v>
      </c>
      <c r="I2" s="8"/>
      <c r="J2" s="11" t="s">
        <v>5</v>
      </c>
      <c r="K2" s="13" t="n">
        <v>80</v>
      </c>
      <c r="L2" s="8"/>
    </row>
    <row r="3" customFormat="false" ht="15.6" hidden="false" customHeight="false" outlineLevel="0" collapsed="false">
      <c r="A3" s="8"/>
      <c r="B3" s="9" t="s">
        <v>6</v>
      </c>
      <c r="C3" s="9"/>
      <c r="D3" s="10" t="n">
        <v>30000</v>
      </c>
      <c r="E3" s="8"/>
      <c r="F3" s="9" t="s">
        <v>82</v>
      </c>
      <c r="G3" s="9"/>
      <c r="H3" s="15" t="n">
        <v>0.75</v>
      </c>
      <c r="I3" s="8"/>
      <c r="J3" s="11" t="s">
        <v>8</v>
      </c>
      <c r="K3" s="13" t="n">
        <v>0</v>
      </c>
      <c r="L3" s="8"/>
    </row>
    <row r="4" customFormat="false" ht="15.6" hidden="false" customHeight="false" outlineLevel="0" collapsed="false">
      <c r="A4" s="8"/>
      <c r="B4" s="16" t="s">
        <v>9</v>
      </c>
      <c r="C4" s="17"/>
      <c r="D4" s="18" t="n">
        <f aca="false">D2+D3</f>
        <v>38000</v>
      </c>
      <c r="E4" s="8"/>
      <c r="F4" s="9" t="s">
        <v>10</v>
      </c>
      <c r="G4" s="9"/>
      <c r="H4" s="15" t="n">
        <v>5.86</v>
      </c>
      <c r="I4" s="8"/>
      <c r="J4" s="19" t="s">
        <v>11</v>
      </c>
      <c r="K4" s="20" t="n">
        <f aca="false">(K2)*10/36</f>
        <v>22.2222222222222</v>
      </c>
      <c r="L4" s="8"/>
    </row>
    <row r="5" customFormat="false" ht="15.6" hidden="false" customHeight="false" outlineLevel="0" collapsed="false">
      <c r="A5" s="8"/>
      <c r="B5" s="21"/>
      <c r="C5" s="21"/>
      <c r="D5" s="21"/>
      <c r="E5" s="8"/>
      <c r="F5" s="17" t="s">
        <v>13</v>
      </c>
      <c r="G5" s="17"/>
      <c r="H5" s="22" t="n">
        <f aca="false">H3*H4</f>
        <v>4.395</v>
      </c>
      <c r="I5" s="8"/>
      <c r="J5" s="17" t="s">
        <v>14</v>
      </c>
      <c r="K5" s="20" t="n">
        <f aca="false">(K2+K3)*10/36</f>
        <v>22.2222222222222</v>
      </c>
      <c r="L5" s="8"/>
    </row>
    <row r="6" customFormat="false" ht="15.6" hidden="false" customHeight="false" outlineLevel="0" collapsed="false">
      <c r="A6" s="8"/>
      <c r="B6" s="9" t="s">
        <v>15</v>
      </c>
      <c r="C6" s="9"/>
      <c r="D6" s="12" t="n">
        <v>0.008</v>
      </c>
      <c r="E6" s="8"/>
      <c r="F6" s="16" t="s">
        <v>16</v>
      </c>
      <c r="G6" s="17"/>
      <c r="H6" s="18" t="n">
        <f aca="false">(30*K4)/(3.14116*D7*(1/H5))</f>
        <v>1776.71700293916</v>
      </c>
      <c r="I6" s="8"/>
      <c r="J6" s="23"/>
      <c r="K6" s="23"/>
      <c r="L6" s="8"/>
    </row>
    <row r="7" customFormat="false" ht="15.6" hidden="false" customHeight="false" outlineLevel="0" collapsed="false">
      <c r="A7" s="8"/>
      <c r="B7" s="9" t="s">
        <v>17</v>
      </c>
      <c r="C7" s="9"/>
      <c r="D7" s="24" t="n">
        <v>0.525</v>
      </c>
      <c r="E7" s="8"/>
      <c r="F7" s="25"/>
      <c r="G7" s="25"/>
      <c r="H7" s="25"/>
      <c r="I7" s="8"/>
      <c r="J7" s="11" t="s">
        <v>18</v>
      </c>
      <c r="K7" s="26" t="n">
        <v>0</v>
      </c>
    </row>
    <row r="8" customFormat="false" ht="15.6" hidden="false" customHeight="false" outlineLevel="0" collapsed="false">
      <c r="A8" s="8"/>
      <c r="B8" s="21"/>
      <c r="C8" s="21"/>
      <c r="D8" s="21"/>
      <c r="E8" s="8"/>
      <c r="F8" s="11" t="s">
        <v>19</v>
      </c>
      <c r="G8" s="9"/>
      <c r="H8" s="13" t="n">
        <v>200</v>
      </c>
      <c r="I8" s="8"/>
      <c r="J8" s="27" t="s">
        <v>83</v>
      </c>
      <c r="K8" s="28"/>
      <c r="L8" s="8"/>
    </row>
    <row r="9" customFormat="false" ht="15.6" hidden="false" customHeight="false" outlineLevel="0" collapsed="false">
      <c r="A9" s="8"/>
      <c r="B9" s="9" t="s">
        <v>21</v>
      </c>
      <c r="C9" s="9"/>
      <c r="D9" s="24" t="n">
        <v>9</v>
      </c>
      <c r="E9" s="8"/>
      <c r="F9" s="17" t="s">
        <v>22</v>
      </c>
      <c r="G9" s="17"/>
      <c r="H9" s="17" t="n">
        <f aca="false">(1000*3600)/(H8*H12)</f>
        <v>0.423529411764706</v>
      </c>
      <c r="I9" s="8"/>
      <c r="J9" s="11" t="s">
        <v>23</v>
      </c>
      <c r="K9" s="29" t="n">
        <v>0</v>
      </c>
      <c r="L9" s="8"/>
    </row>
    <row r="10" customFormat="false" ht="15.6" hidden="false" customHeight="false" outlineLevel="0" collapsed="false">
      <c r="A10" s="8"/>
      <c r="B10" s="9" t="s">
        <v>24</v>
      </c>
      <c r="C10" s="9"/>
      <c r="D10" s="24" t="n">
        <v>0.79</v>
      </c>
      <c r="E10" s="8"/>
      <c r="F10" s="30" t="s">
        <v>25</v>
      </c>
      <c r="G10" s="30"/>
      <c r="H10" s="31" t="n">
        <v>6</v>
      </c>
      <c r="I10" s="8"/>
      <c r="J10" s="23"/>
      <c r="K10" s="23"/>
      <c r="L10" s="8"/>
    </row>
    <row r="11" customFormat="false" ht="15.6" hidden="false" customHeight="false" outlineLevel="0" collapsed="false">
      <c r="A11" s="8"/>
      <c r="B11" s="16" t="s">
        <v>26</v>
      </c>
      <c r="C11" s="17"/>
      <c r="D11" s="22" t="n">
        <f aca="false">D9*D10</f>
        <v>7.11</v>
      </c>
      <c r="E11" s="8"/>
      <c r="F11" s="9" t="s">
        <v>27</v>
      </c>
      <c r="G11" s="9"/>
      <c r="H11" s="32" t="n">
        <v>825</v>
      </c>
      <c r="I11" s="8"/>
      <c r="J11" s="33" t="s">
        <v>28</v>
      </c>
      <c r="K11" s="34" t="n">
        <v>0</v>
      </c>
      <c r="L11" s="8"/>
    </row>
    <row r="12" customFormat="false" ht="15.6" hidden="false" customHeight="false" outlineLevel="0" collapsed="false">
      <c r="A12" s="8"/>
      <c r="B12" s="9" t="s">
        <v>29</v>
      </c>
      <c r="C12" s="9"/>
      <c r="D12" s="12" t="n">
        <v>1.29</v>
      </c>
      <c r="E12" s="8" t="s">
        <v>30</v>
      </c>
      <c r="F12" s="9" t="s">
        <v>31</v>
      </c>
      <c r="G12" s="9"/>
      <c r="H12" s="32" t="n">
        <v>42500</v>
      </c>
      <c r="I12" s="8"/>
      <c r="J12" s="23" t="s">
        <v>32</v>
      </c>
      <c r="K12" s="23"/>
      <c r="L12" s="8"/>
    </row>
    <row r="13" customFormat="false" ht="13.2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5.6" hidden="false" customHeight="false" outlineLevel="0" collapsed="false">
      <c r="A14" s="8"/>
      <c r="B14" s="35" t="s">
        <v>33</v>
      </c>
      <c r="C14" s="36" t="s">
        <v>34</v>
      </c>
      <c r="D14" s="35" t="s">
        <v>35</v>
      </c>
      <c r="E14" s="37" t="s">
        <v>36</v>
      </c>
      <c r="F14" s="35" t="s">
        <v>37</v>
      </c>
      <c r="G14" s="37" t="s">
        <v>36</v>
      </c>
      <c r="H14" s="35" t="s">
        <v>38</v>
      </c>
      <c r="I14" s="37" t="s">
        <v>36</v>
      </c>
      <c r="J14" s="35" t="s">
        <v>39</v>
      </c>
      <c r="K14" s="8"/>
      <c r="L14" s="8"/>
    </row>
    <row r="15" customFormat="false" ht="17.4" hidden="false" customHeight="false" outlineLevel="0" collapsed="false">
      <c r="A15" s="8"/>
      <c r="B15" s="38" t="n">
        <f aca="false">D15+F15+H15+J15</f>
        <v>524.690666666667</v>
      </c>
      <c r="C15" s="17"/>
      <c r="D15" s="22" t="n">
        <f aca="false">D4*9.81*K9/(100*10)</f>
        <v>0</v>
      </c>
      <c r="E15" s="22"/>
      <c r="F15" s="22" t="n">
        <f aca="false">D6*D4*9.81/10</f>
        <v>298.224</v>
      </c>
      <c r="G15" s="22"/>
      <c r="H15" s="22" t="n">
        <f aca="false">(D11*D12*K5*K5)/(10*2)</f>
        <v>226.466666666667</v>
      </c>
      <c r="I15" s="22"/>
      <c r="J15" s="22" t="n">
        <f aca="false">K7*D4/10</f>
        <v>0</v>
      </c>
      <c r="K15" s="8"/>
      <c r="L15" s="39"/>
    </row>
    <row r="16" customFormat="false" ht="13.2" hidden="false" customHeight="false" outlineLevel="0" collapsed="false">
      <c r="A16" s="8"/>
      <c r="B16" s="8"/>
      <c r="C16" s="8"/>
      <c r="D16" s="8" t="s">
        <v>40</v>
      </c>
      <c r="E16" s="8"/>
      <c r="F16" s="8" t="s">
        <v>41</v>
      </c>
      <c r="G16" s="8"/>
      <c r="H16" s="8" t="s">
        <v>42</v>
      </c>
      <c r="I16" s="8"/>
      <c r="J16" s="40" t="s">
        <v>43</v>
      </c>
      <c r="K16" s="8"/>
      <c r="L16" s="8"/>
    </row>
    <row r="17" customFormat="false" ht="15.6" hidden="false" customHeight="false" outlineLevel="0" collapsed="false">
      <c r="A17" s="8"/>
      <c r="B17" s="35" t="s">
        <v>44</v>
      </c>
      <c r="C17" s="41" t="s">
        <v>34</v>
      </c>
      <c r="D17" s="41" t="s">
        <v>45</v>
      </c>
      <c r="E17" s="41" t="s">
        <v>46</v>
      </c>
      <c r="F17" s="41" t="s">
        <v>47</v>
      </c>
      <c r="G17" s="41" t="s">
        <v>48</v>
      </c>
      <c r="H17" s="41" t="s">
        <v>4</v>
      </c>
      <c r="I17" s="8"/>
      <c r="J17" s="42" t="s">
        <v>49</v>
      </c>
      <c r="K17" s="43" t="n">
        <f aca="false">B18/0.736</f>
        <v>165.02197396672</v>
      </c>
      <c r="L17" s="8"/>
    </row>
    <row r="18" customFormat="false" ht="17.4" hidden="false" customHeight="false" outlineLevel="0" collapsed="false">
      <c r="A18" s="8"/>
      <c r="B18" s="38" t="n">
        <f aca="false">(D18*F18/(H18*100))+K11</f>
        <v>121.456172839506</v>
      </c>
      <c r="C18" s="44"/>
      <c r="D18" s="45" t="n">
        <f aca="false">B15</f>
        <v>524.690666666667</v>
      </c>
      <c r="E18" s="45"/>
      <c r="F18" s="45" t="n">
        <f aca="false">K4</f>
        <v>22.2222222222222</v>
      </c>
      <c r="G18" s="45"/>
      <c r="H18" s="45" t="n">
        <f aca="false">H2</f>
        <v>0.96</v>
      </c>
      <c r="I18" s="8"/>
      <c r="J18" s="22" t="s">
        <v>50</v>
      </c>
      <c r="K18" s="46" t="n">
        <f aca="false">((B18*30)/(3.14116*H6))*(1000/10)</f>
        <v>65.2878744785741</v>
      </c>
      <c r="L18" s="8"/>
    </row>
    <row r="19" customFormat="false" ht="13.2" hidden="false" customHeight="false" outlineLevel="0" collapsed="false">
      <c r="A19" s="8"/>
      <c r="B19" s="40" t="s">
        <v>51</v>
      </c>
      <c r="C19" s="8"/>
      <c r="D19" s="8"/>
      <c r="E19" s="8"/>
      <c r="F19" s="8"/>
      <c r="G19" s="8"/>
      <c r="H19" s="8"/>
      <c r="I19" s="8"/>
      <c r="J19" s="8"/>
      <c r="K19" s="47"/>
      <c r="L19" s="8"/>
    </row>
    <row r="20" customFormat="false" ht="15.6" hidden="false" customHeight="false" outlineLevel="0" collapsed="false">
      <c r="A20" s="8"/>
      <c r="B20" s="35" t="s">
        <v>52</v>
      </c>
      <c r="C20" s="44" t="s">
        <v>34</v>
      </c>
      <c r="D20" s="41" t="s">
        <v>53</v>
      </c>
      <c r="E20" s="41" t="s">
        <v>48</v>
      </c>
      <c r="F20" s="41" t="s">
        <v>27</v>
      </c>
      <c r="G20" s="8"/>
      <c r="H20" s="48"/>
      <c r="I20" s="48"/>
      <c r="J20" s="8"/>
      <c r="K20" s="8"/>
      <c r="L20" s="8"/>
    </row>
    <row r="21" customFormat="false" ht="17.4" hidden="false" customHeight="false" outlineLevel="0" collapsed="false">
      <c r="A21" s="8"/>
      <c r="B21" s="38" t="n">
        <f aca="false">D21/F21</f>
        <v>36.8049008604564</v>
      </c>
      <c r="C21" s="45"/>
      <c r="D21" s="45" t="n">
        <f aca="false">B28</f>
        <v>30364.0432098765</v>
      </c>
      <c r="E21" s="45"/>
      <c r="F21" s="45" t="n">
        <f aca="false">H11</f>
        <v>825</v>
      </c>
      <c r="G21" s="8"/>
      <c r="H21" s="48"/>
      <c r="I21" s="48"/>
      <c r="J21" s="8"/>
      <c r="K21" s="8"/>
    </row>
    <row r="22" customFormat="false" ht="13.2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16" t="s">
        <v>54</v>
      </c>
      <c r="K22" s="16" t="n">
        <f aca="false">K23/1000</f>
        <v>0.0920671873387735</v>
      </c>
      <c r="L22" s="8"/>
    </row>
    <row r="23" customFormat="false" ht="13.2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45" t="s">
        <v>55</v>
      </c>
      <c r="K23" s="45" t="n">
        <f aca="false">K24/(H11/1000000)</f>
        <v>92.0671873387735</v>
      </c>
      <c r="L23" s="8"/>
    </row>
    <row r="24" customFormat="false" ht="13.2" hidden="false" customHeight="false" outlineLevel="0" collapsed="false">
      <c r="A24" s="8"/>
      <c r="B24" s="44" t="s">
        <v>56</v>
      </c>
      <c r="C24" s="44" t="s">
        <v>34</v>
      </c>
      <c r="D24" s="44" t="s">
        <v>57</v>
      </c>
      <c r="E24" s="44" t="s">
        <v>46</v>
      </c>
      <c r="F24" s="44" t="s">
        <v>58</v>
      </c>
      <c r="G24" s="8"/>
      <c r="H24" s="8"/>
      <c r="I24" s="8"/>
      <c r="J24" s="44" t="s">
        <v>59</v>
      </c>
      <c r="K24" s="44" t="n">
        <f aca="false">B25/((H6/60)*(H10/2))</f>
        <v>0.0759554295544881</v>
      </c>
      <c r="L24" s="8"/>
      <c r="M24" s="14" t="s">
        <v>60</v>
      </c>
    </row>
    <row r="25" customFormat="false" ht="13.2" hidden="false" customHeight="false" outlineLevel="0" collapsed="false">
      <c r="A25" s="8"/>
      <c r="B25" s="49" t="n">
        <f aca="false">D25*F25</f>
        <v>6.74756515775034</v>
      </c>
      <c r="C25" s="49"/>
      <c r="D25" s="49" t="n">
        <f aca="false">B18</f>
        <v>121.456172839506</v>
      </c>
      <c r="E25" s="49"/>
      <c r="F25" s="49" t="n">
        <f aca="false">H8/3600</f>
        <v>0.0555555555555556</v>
      </c>
      <c r="G25" s="8"/>
      <c r="H25" s="8"/>
      <c r="I25" s="8"/>
      <c r="J25" s="8"/>
      <c r="K25" s="8"/>
      <c r="L25" s="8"/>
    </row>
    <row r="26" customFormat="false" ht="13.2" hidden="false" customHeight="false" outlineLevel="0" collapsed="false">
      <c r="A26" s="8"/>
      <c r="B26" s="50"/>
      <c r="C26" s="50"/>
      <c r="D26" s="50"/>
      <c r="E26" s="50"/>
      <c r="F26" s="50"/>
      <c r="G26" s="8"/>
      <c r="H26" s="8"/>
      <c r="I26" s="8"/>
      <c r="J26" s="44" t="s">
        <v>61</v>
      </c>
      <c r="K26" s="44" t="n">
        <f aca="false">K24*15</f>
        <v>1.13933144331732</v>
      </c>
      <c r="L26" s="8" t="s">
        <v>62</v>
      </c>
    </row>
    <row r="27" customFormat="false" ht="13.2" hidden="false" customHeight="false" outlineLevel="0" collapsed="false">
      <c r="A27" s="8"/>
      <c r="B27" s="49" t="s">
        <v>63</v>
      </c>
      <c r="C27" s="49" t="s">
        <v>34</v>
      </c>
      <c r="D27" s="49" t="s">
        <v>64</v>
      </c>
      <c r="E27" s="49" t="s">
        <v>46</v>
      </c>
      <c r="F27" s="49" t="s">
        <v>65</v>
      </c>
      <c r="G27" s="8"/>
      <c r="H27" s="8"/>
      <c r="I27" s="8"/>
      <c r="J27" s="44" t="s">
        <v>66</v>
      </c>
      <c r="K27" s="44" t="n">
        <f aca="false">K26/D12</f>
        <v>0.883202669238234</v>
      </c>
      <c r="L27" s="8"/>
    </row>
    <row r="28" customFormat="false" ht="13.2" hidden="false" customHeight="false" outlineLevel="0" collapsed="false">
      <c r="A28" s="8"/>
      <c r="B28" s="49" t="n">
        <f aca="false">D28*F28</f>
        <v>30364.0432098765</v>
      </c>
      <c r="C28" s="49"/>
      <c r="D28" s="49" t="n">
        <f aca="false">B25</f>
        <v>6.74756515775034</v>
      </c>
      <c r="E28" s="49"/>
      <c r="F28" s="49" t="n">
        <f aca="false">100*3600/K2</f>
        <v>4500</v>
      </c>
      <c r="G28" s="8"/>
      <c r="H28" s="8"/>
      <c r="I28" s="8"/>
      <c r="J28" s="44" t="s">
        <v>67</v>
      </c>
      <c r="K28" s="44" t="n">
        <f aca="false">K27*H10</f>
        <v>5.29921601542941</v>
      </c>
      <c r="L28" s="8"/>
    </row>
    <row r="29" customFormat="false" ht="13.2" hidden="false" customHeight="false" outlineLevel="0" collapsed="false">
      <c r="A29" s="8"/>
      <c r="G29" s="8"/>
      <c r="H29" s="51"/>
      <c r="I29" s="51"/>
      <c r="K29" s="51"/>
      <c r="L29" s="8"/>
    </row>
    <row r="30" customFormat="false" ht="13.2" hidden="false" customHeight="false" outlineLevel="0" collapsed="false">
      <c r="A30" s="8"/>
      <c r="B30" s="52" t="s">
        <v>68</v>
      </c>
      <c r="C30" s="52"/>
      <c r="D30" s="30"/>
      <c r="F30" s="53" t="s">
        <v>69</v>
      </c>
      <c r="G30" s="53"/>
      <c r="H30" s="19"/>
      <c r="I30" s="51"/>
      <c r="J30" s="51"/>
      <c r="K30" s="51"/>
      <c r="L30" s="8"/>
    </row>
    <row r="31" customFormat="false" ht="13.2" hidden="false" customHeight="false" outlineLevel="0" collapsed="false">
      <c r="A31" s="8"/>
      <c r="B31" s="14" t="s">
        <v>71</v>
      </c>
      <c r="E31" s="8"/>
      <c r="F31" s="55" t="s">
        <v>72</v>
      </c>
      <c r="G31" s="55"/>
      <c r="H31" s="55"/>
      <c r="I31" s="8"/>
      <c r="J31" s="8"/>
      <c r="K31" s="8"/>
      <c r="L31" s="8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2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25.33"/>
    <col collapsed="false" customWidth="true" hidden="false" outlineLevel="0" max="3" min="3" style="0" width="3.66"/>
    <col collapsed="false" customWidth="true" hidden="false" outlineLevel="0" max="4" min="4" style="0" width="18.56"/>
    <col collapsed="false" customWidth="true" hidden="false" outlineLevel="0" max="5" min="5" style="0" width="2.89"/>
    <col collapsed="false" customWidth="true" hidden="false" outlineLevel="0" max="6" min="6" style="0" width="25.44"/>
    <col collapsed="false" customWidth="true" hidden="false" outlineLevel="0" max="7" min="7" style="0" width="3.11"/>
    <col collapsed="false" customWidth="true" hidden="false" outlineLevel="0" max="8" min="8" style="0" width="21.33"/>
    <col collapsed="false" customWidth="true" hidden="false" outlineLevel="0" max="9" min="9" style="0" width="3.45"/>
    <col collapsed="false" customWidth="true" hidden="false" outlineLevel="0" max="10" min="10" style="0" width="20.56"/>
    <col collapsed="false" customWidth="true" hidden="false" outlineLevel="0" max="1025" min="11" style="0" width="10.45"/>
  </cols>
  <sheetData>
    <row r="1" customFormat="false" ht="15.6" hidden="false" customHeight="false" outlineLevel="0" collapsed="false">
      <c r="A1" s="1"/>
      <c r="B1" s="2" t="s">
        <v>0</v>
      </c>
      <c r="C1" s="2"/>
      <c r="D1" s="2"/>
      <c r="E1" s="3"/>
      <c r="F1" s="4" t="s">
        <v>1</v>
      </c>
      <c r="G1" s="4"/>
      <c r="H1" s="4"/>
      <c r="I1" s="3"/>
      <c r="J1" s="5" t="s">
        <v>2</v>
      </c>
      <c r="K1" s="6"/>
      <c r="L1" s="1"/>
    </row>
    <row r="2" customFormat="false" ht="15.6" hidden="false" customHeight="false" outlineLevel="0" collapsed="false">
      <c r="A2" s="8"/>
      <c r="B2" s="9" t="s">
        <v>3</v>
      </c>
      <c r="C2" s="9"/>
      <c r="D2" s="10" t="n">
        <v>20</v>
      </c>
      <c r="E2" s="8"/>
      <c r="F2" s="11" t="s">
        <v>4</v>
      </c>
      <c r="G2" s="9"/>
      <c r="H2" s="12" t="n">
        <v>0.95</v>
      </c>
      <c r="I2" s="8"/>
      <c r="J2" s="11" t="s">
        <v>5</v>
      </c>
      <c r="K2" s="56" t="n">
        <v>30</v>
      </c>
      <c r="L2" s="8"/>
    </row>
    <row r="3" customFormat="false" ht="15.6" hidden="false" customHeight="false" outlineLevel="0" collapsed="false">
      <c r="A3" s="8"/>
      <c r="B3" s="9" t="s">
        <v>6</v>
      </c>
      <c r="C3" s="9"/>
      <c r="D3" s="10" t="n">
        <v>75</v>
      </c>
      <c r="E3" s="8"/>
      <c r="F3" s="9" t="s">
        <v>7</v>
      </c>
      <c r="G3" s="9"/>
      <c r="H3" s="15" t="n">
        <v>0.3</v>
      </c>
      <c r="I3" s="8"/>
      <c r="J3" s="11" t="s">
        <v>8</v>
      </c>
      <c r="K3" s="56" t="n">
        <v>0</v>
      </c>
      <c r="L3" s="8"/>
    </row>
    <row r="4" customFormat="false" ht="15.6" hidden="false" customHeight="false" outlineLevel="0" collapsed="false">
      <c r="A4" s="8"/>
      <c r="B4" s="16" t="s">
        <v>9</v>
      </c>
      <c r="C4" s="17"/>
      <c r="D4" s="18" t="n">
        <f aca="false">D2+D3</f>
        <v>95</v>
      </c>
      <c r="E4" s="8"/>
      <c r="F4" s="9" t="s">
        <v>10</v>
      </c>
      <c r="G4" s="9"/>
      <c r="H4" s="15" t="n">
        <v>1</v>
      </c>
      <c r="I4" s="8"/>
      <c r="J4" s="19" t="s">
        <v>11</v>
      </c>
      <c r="K4" s="20" t="n">
        <f aca="false">(K2)*10/36</f>
        <v>8.33333333333333</v>
      </c>
      <c r="L4" s="8"/>
    </row>
    <row r="5" customFormat="false" ht="15.6" hidden="false" customHeight="false" outlineLevel="0" collapsed="false">
      <c r="A5" s="8"/>
      <c r="B5" s="21"/>
      <c r="C5" s="21"/>
      <c r="D5" s="21"/>
      <c r="E5" s="8"/>
      <c r="F5" s="17" t="s">
        <v>13</v>
      </c>
      <c r="G5" s="17"/>
      <c r="H5" s="22" t="n">
        <f aca="false">H3*H4</f>
        <v>0.3</v>
      </c>
      <c r="I5" s="8"/>
      <c r="J5" s="17" t="s">
        <v>14</v>
      </c>
      <c r="K5" s="20" t="n">
        <f aca="false">(K2+K3)*10/36</f>
        <v>8.33333333333333</v>
      </c>
      <c r="L5" s="8"/>
    </row>
    <row r="6" customFormat="false" ht="15.6" hidden="false" customHeight="false" outlineLevel="0" collapsed="false">
      <c r="A6" s="8"/>
      <c r="B6" s="9" t="s">
        <v>15</v>
      </c>
      <c r="C6" s="9"/>
      <c r="D6" s="12" t="n">
        <v>0.006</v>
      </c>
      <c r="E6" s="8"/>
      <c r="F6" s="16" t="s">
        <v>84</v>
      </c>
      <c r="G6" s="17"/>
      <c r="H6" s="18" t="n">
        <f aca="false">(30*K4)/(3.14116*D7*(1/H5))</f>
        <v>74.614155280215</v>
      </c>
      <c r="I6" s="8"/>
      <c r="J6" s="23"/>
      <c r="K6" s="23"/>
      <c r="L6" s="8"/>
    </row>
    <row r="7" customFormat="false" ht="15.6" hidden="false" customHeight="false" outlineLevel="0" collapsed="false">
      <c r="A7" s="8"/>
      <c r="B7" s="9" t="s">
        <v>17</v>
      </c>
      <c r="C7" s="9"/>
      <c r="D7" s="24" t="n">
        <v>0.32</v>
      </c>
      <c r="E7" s="8"/>
      <c r="F7" s="25"/>
      <c r="G7" s="25"/>
      <c r="H7" s="25"/>
      <c r="I7" s="8"/>
      <c r="J7" s="11" t="s">
        <v>18</v>
      </c>
      <c r="K7" s="26" t="n">
        <v>1</v>
      </c>
      <c r="L7" s="14"/>
    </row>
    <row r="8" customFormat="false" ht="15.6" hidden="false" customHeight="false" outlineLevel="0" collapsed="false">
      <c r="A8" s="8"/>
      <c r="B8" s="21"/>
      <c r="C8" s="21"/>
      <c r="D8" s="21"/>
      <c r="E8" s="8"/>
      <c r="F8" s="11" t="s">
        <v>19</v>
      </c>
      <c r="G8" s="9"/>
      <c r="H8" s="13" t="n">
        <v>400</v>
      </c>
      <c r="I8" s="8"/>
      <c r="J8" s="27" t="s">
        <v>20</v>
      </c>
      <c r="K8" s="28"/>
      <c r="L8" s="8"/>
    </row>
    <row r="9" customFormat="false" ht="15.6" hidden="false" customHeight="false" outlineLevel="0" collapsed="false">
      <c r="A9" s="8"/>
      <c r="B9" s="9" t="s">
        <v>21</v>
      </c>
      <c r="C9" s="9"/>
      <c r="D9" s="24" t="n">
        <v>0.5</v>
      </c>
      <c r="E9" s="8"/>
      <c r="F9" s="17" t="s">
        <v>22</v>
      </c>
      <c r="G9" s="17"/>
      <c r="H9" s="17" t="n">
        <f aca="false">(1000*3600)/(H8*H12)</f>
        <v>0.204545454545455</v>
      </c>
      <c r="I9" s="8"/>
      <c r="J9" s="11" t="s">
        <v>23</v>
      </c>
      <c r="K9" s="29" t="n">
        <v>2</v>
      </c>
      <c r="L9" s="8"/>
    </row>
    <row r="10" customFormat="false" ht="15.6" hidden="false" customHeight="false" outlineLevel="0" collapsed="false">
      <c r="A10" s="8"/>
      <c r="B10" s="9" t="s">
        <v>24</v>
      </c>
      <c r="C10" s="9"/>
      <c r="D10" s="24" t="n">
        <v>0.55</v>
      </c>
      <c r="E10" s="8"/>
      <c r="F10" s="30" t="s">
        <v>25</v>
      </c>
      <c r="G10" s="30"/>
      <c r="H10" s="31" t="n">
        <v>1</v>
      </c>
      <c r="I10" s="8"/>
      <c r="J10" s="23"/>
      <c r="K10" s="23"/>
      <c r="L10" s="8"/>
    </row>
    <row r="11" customFormat="false" ht="17.4" hidden="false" customHeight="false" outlineLevel="0" collapsed="false">
      <c r="A11" s="8"/>
      <c r="B11" s="16" t="s">
        <v>26</v>
      </c>
      <c r="C11" s="17"/>
      <c r="D11" s="22" t="n">
        <f aca="false">D9*D10</f>
        <v>0.275</v>
      </c>
      <c r="E11" s="8"/>
      <c r="F11" s="9" t="s">
        <v>27</v>
      </c>
      <c r="G11" s="9"/>
      <c r="H11" s="32" t="n">
        <v>825</v>
      </c>
      <c r="I11" s="8"/>
      <c r="J11" s="33" t="s">
        <v>28</v>
      </c>
      <c r="K11" s="34" t="n">
        <v>-0.15</v>
      </c>
      <c r="L11" s="57" t="s">
        <v>85</v>
      </c>
    </row>
    <row r="12" customFormat="false" ht="15.6" hidden="false" customHeight="false" outlineLevel="0" collapsed="false">
      <c r="A12" s="8"/>
      <c r="B12" s="9" t="s">
        <v>29</v>
      </c>
      <c r="C12" s="9"/>
      <c r="D12" s="12" t="n">
        <v>1.29</v>
      </c>
      <c r="E12" s="8" t="s">
        <v>30</v>
      </c>
      <c r="F12" s="9" t="s">
        <v>31</v>
      </c>
      <c r="G12" s="9"/>
      <c r="H12" s="32" t="n">
        <v>44000</v>
      </c>
      <c r="I12" s="8"/>
      <c r="J12" s="23" t="s">
        <v>32</v>
      </c>
      <c r="K12" s="23"/>
      <c r="L12" s="8"/>
    </row>
    <row r="13" customFormat="false" ht="13.2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5.6" hidden="false" customHeight="false" outlineLevel="0" collapsed="false">
      <c r="A14" s="8"/>
      <c r="B14" s="35" t="s">
        <v>33</v>
      </c>
      <c r="C14" s="36" t="s">
        <v>34</v>
      </c>
      <c r="D14" s="35" t="s">
        <v>35</v>
      </c>
      <c r="E14" s="37" t="s">
        <v>36</v>
      </c>
      <c r="F14" s="35" t="s">
        <v>37</v>
      </c>
      <c r="G14" s="37" t="s">
        <v>36</v>
      </c>
      <c r="H14" s="35" t="s">
        <v>38</v>
      </c>
      <c r="I14" s="37" t="s">
        <v>36</v>
      </c>
      <c r="J14" s="35" t="s">
        <v>39</v>
      </c>
      <c r="K14" s="8"/>
      <c r="L14" s="8"/>
    </row>
    <row r="15" customFormat="false" ht="17.4" hidden="false" customHeight="false" outlineLevel="0" collapsed="false">
      <c r="A15" s="8"/>
      <c r="B15" s="38" t="n">
        <f aca="false">D15+F15+H15+J15</f>
        <v>13.1548408333333</v>
      </c>
      <c r="C15" s="17"/>
      <c r="D15" s="22" t="n">
        <f aca="false">D4*9.81*K9/(100*10)</f>
        <v>1.8639</v>
      </c>
      <c r="E15" s="22"/>
      <c r="F15" s="22" t="n">
        <f aca="false">D6*D4*9.81/10</f>
        <v>0.55917</v>
      </c>
      <c r="G15" s="22"/>
      <c r="H15" s="22" t="n">
        <f aca="false">(D11*D12*K5*K5)/(10*2)</f>
        <v>1.23177083333333</v>
      </c>
      <c r="I15" s="22"/>
      <c r="J15" s="22" t="n">
        <f aca="false">K7*D4/10</f>
        <v>9.5</v>
      </c>
      <c r="K15" s="8"/>
      <c r="L15" s="39"/>
    </row>
    <row r="16" customFormat="false" ht="13.2" hidden="false" customHeight="false" outlineLevel="0" collapsed="false">
      <c r="A16" s="8"/>
      <c r="B16" s="8"/>
      <c r="C16" s="8"/>
      <c r="D16" s="8" t="s">
        <v>40</v>
      </c>
      <c r="E16" s="8"/>
      <c r="F16" s="8" t="s">
        <v>41</v>
      </c>
      <c r="G16" s="8"/>
      <c r="H16" s="8" t="s">
        <v>42</v>
      </c>
      <c r="I16" s="8"/>
      <c r="J16" s="40" t="s">
        <v>43</v>
      </c>
      <c r="K16" s="8"/>
      <c r="L16" s="8"/>
    </row>
    <row r="17" customFormat="false" ht="15.6" hidden="false" customHeight="false" outlineLevel="0" collapsed="false">
      <c r="A17" s="8"/>
      <c r="B17" s="35" t="s">
        <v>44</v>
      </c>
      <c r="C17" s="41" t="s">
        <v>34</v>
      </c>
      <c r="D17" s="41" t="s">
        <v>45</v>
      </c>
      <c r="E17" s="41" t="s">
        <v>46</v>
      </c>
      <c r="F17" s="41" t="s">
        <v>47</v>
      </c>
      <c r="G17" s="41" t="s">
        <v>48</v>
      </c>
      <c r="H17" s="41" t="s">
        <v>4</v>
      </c>
      <c r="I17" s="8"/>
      <c r="J17" s="42" t="s">
        <v>49</v>
      </c>
      <c r="K17" s="43" t="n">
        <f aca="false">B18/0.736</f>
        <v>1.36403995439232</v>
      </c>
      <c r="L17" s="8"/>
    </row>
    <row r="18" customFormat="false" ht="17.4" hidden="false" customHeight="false" outlineLevel="0" collapsed="false">
      <c r="A18" s="8"/>
      <c r="B18" s="38" t="n">
        <f aca="false">(D18*F18/(H18*100))+K11</f>
        <v>1.00393340643275</v>
      </c>
      <c r="C18" s="44"/>
      <c r="D18" s="45" t="n">
        <f aca="false">B15</f>
        <v>13.1548408333333</v>
      </c>
      <c r="E18" s="45"/>
      <c r="F18" s="45" t="n">
        <f aca="false">K4</f>
        <v>8.33333333333333</v>
      </c>
      <c r="G18" s="45"/>
      <c r="H18" s="45" t="n">
        <f aca="false">H2</f>
        <v>0.95</v>
      </c>
      <c r="I18" s="8"/>
      <c r="J18" s="22" t="s">
        <v>50</v>
      </c>
      <c r="K18" s="46" t="n">
        <f aca="false">((B18*30)/(3.14116*H6))*(1000/10)</f>
        <v>12.8503476023392</v>
      </c>
      <c r="L18" s="8"/>
    </row>
    <row r="19" customFormat="false" ht="13.2" hidden="false" customHeight="false" outlineLevel="0" collapsed="false">
      <c r="A19" s="8"/>
      <c r="B19" s="40" t="s">
        <v>51</v>
      </c>
      <c r="C19" s="8"/>
      <c r="D19" s="8"/>
      <c r="E19" s="8"/>
      <c r="F19" s="8"/>
      <c r="G19" s="8"/>
      <c r="H19" s="8"/>
      <c r="I19" s="8"/>
      <c r="J19" s="8"/>
      <c r="K19" s="47"/>
      <c r="L19" s="8"/>
    </row>
    <row r="20" customFormat="false" ht="15.6" hidden="false" customHeight="false" outlineLevel="0" collapsed="false">
      <c r="A20" s="8"/>
      <c r="B20" s="35" t="s">
        <v>52</v>
      </c>
      <c r="C20" s="44" t="s">
        <v>34</v>
      </c>
      <c r="D20" s="41" t="s">
        <v>53</v>
      </c>
      <c r="E20" s="41" t="s">
        <v>48</v>
      </c>
      <c r="F20" s="41" t="s">
        <v>27</v>
      </c>
      <c r="G20" s="8"/>
      <c r="H20" s="48"/>
      <c r="I20" s="48"/>
      <c r="J20" s="8"/>
      <c r="K20" s="8"/>
      <c r="L20" s="8"/>
    </row>
    <row r="21" customFormat="false" ht="17.4" hidden="false" customHeight="false" outlineLevel="0" collapsed="false">
      <c r="A21" s="8"/>
      <c r="B21" s="38" t="n">
        <f aca="false">D21/F21</f>
        <v>1.62251863665899</v>
      </c>
      <c r="C21" s="45"/>
      <c r="D21" s="45" t="n">
        <f aca="false">B28</f>
        <v>1338.57787524366</v>
      </c>
      <c r="E21" s="45"/>
      <c r="F21" s="45" t="n">
        <f aca="false">H11</f>
        <v>825</v>
      </c>
      <c r="G21" s="8"/>
      <c r="H21" s="48"/>
      <c r="I21" s="48"/>
      <c r="J21" s="8"/>
      <c r="K21" s="8"/>
      <c r="L21" s="14"/>
    </row>
    <row r="22" customFormat="false" ht="13.2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16" t="s">
        <v>54</v>
      </c>
      <c r="K22" s="16" t="n">
        <f aca="false">K23/1000</f>
        <v>0.217454534004384</v>
      </c>
      <c r="L22" s="8"/>
    </row>
    <row r="23" customFormat="false" ht="13.2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45" t="s">
        <v>55</v>
      </c>
      <c r="K23" s="45" t="n">
        <f aca="false">K24/(H11/1000000)</f>
        <v>217.454534004384</v>
      </c>
      <c r="L23" s="8"/>
    </row>
    <row r="24" customFormat="false" ht="13.2" hidden="false" customHeight="false" outlineLevel="0" collapsed="false">
      <c r="A24" s="8"/>
      <c r="B24" s="44" t="s">
        <v>56</v>
      </c>
      <c r="C24" s="44" t="s">
        <v>34</v>
      </c>
      <c r="D24" s="44" t="s">
        <v>57</v>
      </c>
      <c r="E24" s="44" t="s">
        <v>46</v>
      </c>
      <c r="F24" s="44" t="s">
        <v>58</v>
      </c>
      <c r="G24" s="8"/>
      <c r="H24" s="8"/>
      <c r="I24" s="8"/>
      <c r="J24" s="44" t="s">
        <v>59</v>
      </c>
      <c r="K24" s="44" t="n">
        <f aca="false">B25/((H6/60)*(H10/2))</f>
        <v>0.179399990553617</v>
      </c>
      <c r="L24" s="8"/>
    </row>
    <row r="25" customFormat="false" ht="13.2" hidden="false" customHeight="false" outlineLevel="0" collapsed="false">
      <c r="A25" s="8"/>
      <c r="B25" s="49" t="n">
        <f aca="false">D25*F25</f>
        <v>0.111548156270305</v>
      </c>
      <c r="C25" s="49"/>
      <c r="D25" s="49" t="n">
        <f aca="false">B18</f>
        <v>1.00393340643275</v>
      </c>
      <c r="E25" s="49"/>
      <c r="F25" s="49" t="n">
        <f aca="false">H8/3600</f>
        <v>0.111111111111111</v>
      </c>
      <c r="G25" s="8"/>
      <c r="H25" s="8"/>
      <c r="I25" s="8"/>
      <c r="J25" s="8"/>
      <c r="K25" s="8"/>
      <c r="L25" s="8"/>
    </row>
    <row r="26" customFormat="false" ht="13.2" hidden="false" customHeight="false" outlineLevel="0" collapsed="false">
      <c r="A26" s="8"/>
      <c r="B26" s="50"/>
      <c r="C26" s="50"/>
      <c r="D26" s="50"/>
      <c r="E26" s="50"/>
      <c r="F26" s="50"/>
      <c r="G26" s="8"/>
      <c r="H26" s="8"/>
      <c r="I26" s="8"/>
      <c r="J26" s="44" t="s">
        <v>61</v>
      </c>
      <c r="K26" s="44" t="n">
        <f aca="false">K24*15</f>
        <v>2.69099985830425</v>
      </c>
      <c r="L26" s="8" t="s">
        <v>62</v>
      </c>
    </row>
    <row r="27" customFormat="false" ht="13.2" hidden="false" customHeight="false" outlineLevel="0" collapsed="false">
      <c r="A27" s="8"/>
      <c r="B27" s="49" t="s">
        <v>63</v>
      </c>
      <c r="C27" s="49" t="s">
        <v>34</v>
      </c>
      <c r="D27" s="49" t="s">
        <v>64</v>
      </c>
      <c r="E27" s="49" t="s">
        <v>46</v>
      </c>
      <c r="F27" s="49" t="s">
        <v>65</v>
      </c>
      <c r="G27" s="8"/>
      <c r="H27" s="8"/>
      <c r="I27" s="8"/>
      <c r="J27" s="44" t="s">
        <v>66</v>
      </c>
      <c r="K27" s="44" t="n">
        <f aca="false">K26/D12</f>
        <v>2.08604640178624</v>
      </c>
      <c r="L27" s="8"/>
    </row>
    <row r="28" customFormat="false" ht="13.2" hidden="false" customHeight="false" outlineLevel="0" collapsed="false">
      <c r="A28" s="8"/>
      <c r="B28" s="49" t="n">
        <f aca="false">D28*F28</f>
        <v>1338.57787524366</v>
      </c>
      <c r="C28" s="49"/>
      <c r="D28" s="49" t="n">
        <f aca="false">B25</f>
        <v>0.111548156270305</v>
      </c>
      <c r="E28" s="49"/>
      <c r="F28" s="49" t="n">
        <f aca="false">100*3600/K2</f>
        <v>12000</v>
      </c>
      <c r="G28" s="8"/>
      <c r="H28" s="8"/>
      <c r="I28" s="8"/>
      <c r="J28" s="44" t="s">
        <v>67</v>
      </c>
      <c r="K28" s="44" t="n">
        <f aca="false">K27*H10</f>
        <v>2.08604640178624</v>
      </c>
      <c r="L28" s="8"/>
    </row>
    <row r="29" customFormat="false" ht="13.2" hidden="false" customHeight="false" outlineLevel="0" collapsed="false">
      <c r="A29" s="8"/>
      <c r="B29" s="14"/>
      <c r="C29" s="14"/>
      <c r="D29" s="14"/>
      <c r="E29" s="14"/>
      <c r="F29" s="14"/>
      <c r="G29" s="8"/>
      <c r="H29" s="51"/>
      <c r="I29" s="51"/>
      <c r="J29" s="14"/>
      <c r="K29" s="51"/>
      <c r="L29" s="8"/>
    </row>
    <row r="30" customFormat="false" ht="13.2" hidden="false" customHeight="false" outlineLevel="0" collapsed="false">
      <c r="A30" s="8"/>
      <c r="B30" s="52" t="s">
        <v>68</v>
      </c>
      <c r="C30" s="52"/>
      <c r="D30" s="30"/>
      <c r="E30" s="14"/>
      <c r="F30" s="53" t="s">
        <v>86</v>
      </c>
      <c r="G30" s="53"/>
      <c r="H30" s="19"/>
      <c r="I30" s="51"/>
      <c r="J30" s="54"/>
      <c r="L30" s="8"/>
    </row>
    <row r="31" customFormat="false" ht="13.2" hidden="false" customHeight="false" outlineLevel="0" collapsed="false">
      <c r="A31" s="8"/>
      <c r="B31" s="14" t="s">
        <v>71</v>
      </c>
      <c r="C31" s="14"/>
      <c r="D31" s="14"/>
      <c r="E31" s="8"/>
      <c r="F31" s="55" t="s">
        <v>72</v>
      </c>
      <c r="G31" s="55"/>
      <c r="H31" s="55"/>
      <c r="I31" s="8"/>
      <c r="L31" s="8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3.2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43.11"/>
    <col collapsed="false" customWidth="true" hidden="false" outlineLevel="0" max="3" min="3" style="0" width="9.11"/>
    <col collapsed="false" customWidth="true" hidden="false" outlineLevel="0" max="4" min="4" style="0" width="2.99"/>
    <col collapsed="false" customWidth="true" hidden="false" outlineLevel="0" max="5" min="5" style="0" width="4.33"/>
    <col collapsed="false" customWidth="true" hidden="false" outlineLevel="0" max="6" min="6" style="0" width="2.11"/>
    <col collapsed="false" customWidth="true" hidden="false" outlineLevel="0" max="7" min="7" style="0" width="2.33"/>
    <col collapsed="false" customWidth="true" hidden="false" outlineLevel="0" max="8" min="8" style="0" width="37.11"/>
    <col collapsed="false" customWidth="true" hidden="false" outlineLevel="0" max="9" min="9" style="0" width="43.33"/>
    <col collapsed="false" customWidth="true" hidden="false" outlineLevel="0" max="1025" min="10" style="0" width="10.45"/>
  </cols>
  <sheetData>
    <row r="2" customFormat="false" ht="13.2" hidden="false" customHeight="false" outlineLevel="0" collapsed="false">
      <c r="B2" s="54" t="s">
        <v>87</v>
      </c>
    </row>
    <row r="3" customFormat="false" ht="13.2" hidden="false" customHeight="false" outlineLevel="0" collapsed="false">
      <c r="B3" s="0" t="s">
        <v>88</v>
      </c>
      <c r="C3" s="0" t="s">
        <v>89</v>
      </c>
    </row>
    <row r="4" customFormat="false" ht="13.2" hidden="false" customHeight="false" outlineLevel="0" collapsed="false">
      <c r="B4" s="0" t="s">
        <v>90</v>
      </c>
      <c r="C4" s="0" t="s">
        <v>91</v>
      </c>
    </row>
    <row r="5" customFormat="false" ht="13.2" hidden="false" customHeight="false" outlineLevel="0" collapsed="false">
      <c r="B5" s="0" t="s">
        <v>92</v>
      </c>
      <c r="C5" s="0" t="s">
        <v>93</v>
      </c>
    </row>
    <row r="6" customFormat="false" ht="13.2" hidden="false" customHeight="false" outlineLevel="0" collapsed="false">
      <c r="B6" s="0" t="s">
        <v>94</v>
      </c>
      <c r="C6" s="0" t="s">
        <v>95</v>
      </c>
    </row>
    <row r="7" customFormat="false" ht="13.2" hidden="false" customHeight="true" outlineLevel="0" collapsed="false">
      <c r="H7" s="58" t="s">
        <v>96</v>
      </c>
      <c r="I7" s="58"/>
    </row>
    <row r="8" customFormat="false" ht="30.75" hidden="false" customHeight="true" outlineLevel="0" collapsed="false">
      <c r="B8" s="59" t="s">
        <v>97</v>
      </c>
      <c r="H8" s="60"/>
      <c r="I8" s="60"/>
    </row>
    <row r="9" customFormat="false" ht="15" hidden="false" customHeight="true" outlineLevel="0" collapsed="false">
      <c r="B9" s="61"/>
      <c r="H9" s="62" t="s">
        <v>98</v>
      </c>
      <c r="I9" s="62" t="s">
        <v>99</v>
      </c>
    </row>
    <row r="10" customFormat="false" ht="15" hidden="false" customHeight="true" outlineLevel="0" collapsed="false">
      <c r="B10" s="63" t="s">
        <v>100</v>
      </c>
      <c r="H10" s="62" t="s">
        <v>101</v>
      </c>
      <c r="I10" s="62" t="s">
        <v>102</v>
      </c>
    </row>
    <row r="11" customFormat="false" ht="20.25" hidden="false" customHeight="true" outlineLevel="0" collapsed="false">
      <c r="B11" s="61"/>
      <c r="H11" s="62" t="s">
        <v>103</v>
      </c>
      <c r="I11" s="62" t="s">
        <v>104</v>
      </c>
    </row>
    <row r="12" customFormat="false" ht="17.25" hidden="false" customHeight="true" outlineLevel="0" collapsed="false">
      <c r="B12" s="59" t="s">
        <v>105</v>
      </c>
      <c r="H12" s="62" t="s">
        <v>106</v>
      </c>
      <c r="I12" s="62" t="s">
        <v>107</v>
      </c>
    </row>
    <row r="13" customFormat="false" ht="19.5" hidden="false" customHeight="true" outlineLevel="0" collapsed="false">
      <c r="B13" s="61"/>
      <c r="H13" s="62" t="s">
        <v>108</v>
      </c>
      <c r="I13" s="62" t="s">
        <v>109</v>
      </c>
    </row>
    <row r="14" customFormat="false" ht="21.75" hidden="false" customHeight="true" outlineLevel="0" collapsed="false">
      <c r="B14" s="59" t="s">
        <v>110</v>
      </c>
      <c r="H14" s="62" t="s">
        <v>111</v>
      </c>
      <c r="I14" s="62" t="s">
        <v>112</v>
      </c>
    </row>
    <row r="15" customFormat="false" ht="19.5" hidden="false" customHeight="true" outlineLevel="0" collapsed="false">
      <c r="B15" s="59" t="s">
        <v>113</v>
      </c>
      <c r="H15" s="64"/>
      <c r="I15" s="64"/>
    </row>
    <row r="16" customFormat="false" ht="59.25" hidden="false" customHeight="true" outlineLevel="0" collapsed="false">
      <c r="B16" s="59" t="s">
        <v>114</v>
      </c>
      <c r="H16" s="58" t="s">
        <v>115</v>
      </c>
      <c r="I16" s="58"/>
    </row>
    <row r="17" customFormat="false" ht="21" hidden="false" customHeight="true" outlineLevel="0" collapsed="false">
      <c r="B17" s="59" t="s">
        <v>116</v>
      </c>
      <c r="H17" s="65"/>
      <c r="I17" s="65"/>
    </row>
    <row r="18" customFormat="false" ht="39" hidden="false" customHeight="true" outlineLevel="0" collapsed="false">
      <c r="B18" s="59" t="s">
        <v>117</v>
      </c>
      <c r="H18" s="58" t="s">
        <v>118</v>
      </c>
      <c r="I18" s="58"/>
    </row>
    <row r="19" customFormat="false" ht="42.75" hidden="false" customHeight="true" outlineLevel="0" collapsed="false">
      <c r="B19" s="59" t="s">
        <v>119</v>
      </c>
    </row>
    <row r="20" customFormat="false" ht="30.75" hidden="false" customHeight="true" outlineLevel="0" collapsed="false">
      <c r="B20" s="59" t="s">
        <v>120</v>
      </c>
    </row>
    <row r="21" customFormat="false" ht="31.5" hidden="false" customHeight="true" outlineLevel="0" collapsed="false">
      <c r="B21" s="59" t="s">
        <v>121</v>
      </c>
    </row>
    <row r="22" customFormat="false" ht="13.2" hidden="false" customHeight="false" outlineLevel="0" collapsed="false">
      <c r="B22" s="61"/>
    </row>
    <row r="23" customFormat="false" ht="39" hidden="false" customHeight="true" outlineLevel="0" collapsed="false">
      <c r="B23" s="59" t="s">
        <v>122</v>
      </c>
    </row>
    <row r="24" customFormat="false" ht="39" hidden="false" customHeight="true" outlineLevel="0" collapsed="false">
      <c r="B24" s="59" t="s">
        <v>123</v>
      </c>
    </row>
    <row r="25" customFormat="false" ht="13.2" hidden="false" customHeight="false" outlineLevel="0" collapsed="false">
      <c r="B25" s="61"/>
    </row>
    <row r="26" customFormat="false" ht="22.5" hidden="false" customHeight="true" outlineLevel="0" collapsed="false">
      <c r="B26" s="59" t="s">
        <v>124</v>
      </c>
    </row>
    <row r="27" customFormat="false" ht="52.5" hidden="false" customHeight="true" outlineLevel="0" collapsed="false">
      <c r="B27" s="59" t="s">
        <v>125</v>
      </c>
    </row>
    <row r="28" customFormat="false" ht="52.5" hidden="false" customHeight="true" outlineLevel="0" collapsed="false">
      <c r="B28" s="59" t="s">
        <v>126</v>
      </c>
    </row>
  </sheetData>
  <mergeCells count="6">
    <mergeCell ref="H7:I7"/>
    <mergeCell ref="H8:I8"/>
    <mergeCell ref="H15:I15"/>
    <mergeCell ref="H16:I16"/>
    <mergeCell ref="H17:I17"/>
    <mergeCell ref="H18:I18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J6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5" activeCellId="0" sqref="H15"/>
    </sheetView>
  </sheetViews>
  <sheetFormatPr defaultRowHeight="13.2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36.56"/>
    <col collapsed="false" customWidth="true" hidden="false" outlineLevel="0" max="4" min="3" style="0" width="10.45"/>
    <col collapsed="false" customWidth="true" hidden="false" outlineLevel="0" max="5" min="5" style="0" width="9.56"/>
    <col collapsed="false" customWidth="true" hidden="false" outlineLevel="0" max="6" min="6" style="0" width="10.45"/>
    <col collapsed="false" customWidth="true" hidden="false" outlineLevel="0" max="7" min="7" style="0" width="7"/>
    <col collapsed="false" customWidth="true" hidden="false" outlineLevel="0" max="8" min="8" style="0" width="29.1"/>
    <col collapsed="false" customWidth="true" hidden="false" outlineLevel="0" max="9" min="9" style="0" width="21.56"/>
    <col collapsed="false" customWidth="true" hidden="false" outlineLevel="0" max="10" min="10" style="0" width="14.34"/>
    <col collapsed="false" customWidth="true" hidden="false" outlineLevel="0" max="1025" min="11" style="0" width="10.45"/>
  </cols>
  <sheetData>
    <row r="4" customFormat="false" ht="15.6" hidden="false" customHeight="false" outlineLevel="0" collapsed="false">
      <c r="B4" s="66" t="s">
        <v>127</v>
      </c>
      <c r="I4" s="54" t="s">
        <v>128</v>
      </c>
      <c r="J4" s="54" t="s">
        <v>129</v>
      </c>
    </row>
    <row r="5" customFormat="false" ht="15.6" hidden="false" customHeight="false" outlineLevel="0" collapsed="false">
      <c r="B5" s="66" t="s">
        <v>130</v>
      </c>
      <c r="H5" s="54" t="s">
        <v>131</v>
      </c>
      <c r="I5" s="0" t="s">
        <v>132</v>
      </c>
      <c r="J5" s="0" t="n">
        <v>0.013</v>
      </c>
    </row>
    <row r="6" customFormat="false" ht="15.6" hidden="false" customHeight="false" outlineLevel="0" collapsed="false">
      <c r="B6" s="66" t="s">
        <v>133</v>
      </c>
      <c r="H6" s="54"/>
      <c r="I6" s="0" t="s">
        <v>134</v>
      </c>
      <c r="J6" s="0" t="n">
        <v>0.02</v>
      </c>
    </row>
    <row r="7" customFormat="false" ht="15.6" hidden="false" customHeight="false" outlineLevel="0" collapsed="false">
      <c r="B7" s="66" t="s">
        <v>135</v>
      </c>
      <c r="H7" s="54"/>
      <c r="I7" s="0" t="s">
        <v>136</v>
      </c>
      <c r="J7" s="0" t="n">
        <v>0.025</v>
      </c>
    </row>
    <row r="8" customFormat="false" ht="15.6" hidden="false" customHeight="false" outlineLevel="0" collapsed="false">
      <c r="B8" s="66" t="s">
        <v>137</v>
      </c>
      <c r="H8" s="54"/>
      <c r="I8" s="0" t="s">
        <v>138</v>
      </c>
      <c r="J8" s="0" t="n">
        <v>0.05</v>
      </c>
    </row>
    <row r="9" customFormat="false" ht="15.6" hidden="false" customHeight="false" outlineLevel="0" collapsed="false">
      <c r="B9" s="66" t="s">
        <v>139</v>
      </c>
      <c r="H9" s="54"/>
    </row>
    <row r="10" customFormat="false" ht="15.6" hidden="false" customHeight="false" outlineLevel="0" collapsed="false">
      <c r="B10" s="66" t="s">
        <v>140</v>
      </c>
      <c r="H10" s="54" t="s">
        <v>141</v>
      </c>
      <c r="I10" s="0" t="s">
        <v>142</v>
      </c>
      <c r="J10" s="0" t="s">
        <v>143</v>
      </c>
    </row>
    <row r="11" customFormat="false" ht="15.6" hidden="false" customHeight="false" outlineLevel="0" collapsed="false">
      <c r="B11" s="66" t="s">
        <v>144</v>
      </c>
      <c r="H11" s="54"/>
      <c r="I11" s="0" t="s">
        <v>145</v>
      </c>
      <c r="J11" s="0" t="s">
        <v>146</v>
      </c>
    </row>
    <row r="12" customFormat="false" ht="13.2" hidden="false" customHeight="false" outlineLevel="0" collapsed="false">
      <c r="H12" s="54"/>
    </row>
    <row r="13" customFormat="false" ht="13.2" hidden="false" customHeight="false" outlineLevel="0" collapsed="false">
      <c r="H13" s="54" t="s">
        <v>147</v>
      </c>
      <c r="I13" s="0" t="s">
        <v>148</v>
      </c>
      <c r="J13" s="0" t="s">
        <v>149</v>
      </c>
    </row>
    <row r="14" customFormat="false" ht="15.6" hidden="false" customHeight="false" outlineLevel="0" collapsed="false">
      <c r="B14" s="67" t="s">
        <v>150</v>
      </c>
      <c r="C14" s="68" t="s">
        <v>151</v>
      </c>
      <c r="D14" s="68" t="s">
        <v>152</v>
      </c>
      <c r="E14" s="54" t="s">
        <v>26</v>
      </c>
      <c r="H14" s="54"/>
    </row>
    <row r="15" customFormat="false" ht="15.6" hidden="false" customHeight="false" outlineLevel="0" collapsed="false">
      <c r="B15" s="66" t="s">
        <v>153</v>
      </c>
      <c r="C15" s="0" t="n">
        <v>0.29</v>
      </c>
      <c r="D15" s="0" t="n">
        <v>2.25</v>
      </c>
      <c r="E15" s="0" t="n">
        <f aca="false">C15*D15</f>
        <v>0.6525</v>
      </c>
      <c r="H15" s="54"/>
    </row>
    <row r="16" customFormat="false" ht="15.6" hidden="false" customHeight="false" outlineLevel="0" collapsed="false">
      <c r="B16" s="66" t="s">
        <v>154</v>
      </c>
      <c r="C16" s="0" t="n">
        <v>0.29</v>
      </c>
      <c r="D16" s="0" t="n">
        <v>1.95</v>
      </c>
      <c r="E16" s="0" t="n">
        <f aca="false">C16*D16</f>
        <v>0.5655</v>
      </c>
      <c r="H16" s="54" t="s">
        <v>155</v>
      </c>
      <c r="I16" s="0" t="s">
        <v>156</v>
      </c>
      <c r="J16" s="0" t="s">
        <v>157</v>
      </c>
    </row>
    <row r="17" customFormat="false" ht="15.6" hidden="false" customHeight="false" outlineLevel="0" collapsed="false">
      <c r="B17" s="66" t="s">
        <v>158</v>
      </c>
      <c r="C17" s="0" t="n">
        <v>0.3</v>
      </c>
      <c r="D17" s="0" t="n">
        <v>2.05</v>
      </c>
      <c r="E17" s="0" t="n">
        <f aca="false">C17*D17</f>
        <v>0.615</v>
      </c>
    </row>
    <row r="18" customFormat="false" ht="13.2" hidden="false" customHeight="false" outlineLevel="0" collapsed="false">
      <c r="E18" s="0" t="n">
        <f aca="false">C18*D18</f>
        <v>0</v>
      </c>
    </row>
    <row r="19" customFormat="false" ht="15.6" hidden="false" customHeight="false" outlineLevel="0" collapsed="false">
      <c r="B19" s="66" t="s">
        <v>159</v>
      </c>
      <c r="C19" s="0" t="n">
        <v>0.44</v>
      </c>
      <c r="E19" s="0" t="n">
        <f aca="false">C19*D19</f>
        <v>0</v>
      </c>
      <c r="I19" s="54" t="s">
        <v>160</v>
      </c>
      <c r="J19" s="54" t="s">
        <v>161</v>
      </c>
    </row>
    <row r="20" customFormat="false" ht="15.6" hidden="false" customHeight="false" outlineLevel="0" collapsed="false">
      <c r="B20" s="66" t="s">
        <v>162</v>
      </c>
      <c r="C20" s="0" t="s">
        <v>163</v>
      </c>
      <c r="H20" s="54" t="s">
        <v>164</v>
      </c>
      <c r="I20" s="0" t="s">
        <v>165</v>
      </c>
    </row>
    <row r="21" customFormat="false" ht="13.2" hidden="false" customHeight="false" outlineLevel="0" collapsed="false">
      <c r="H21" s="0" t="s">
        <v>166</v>
      </c>
      <c r="I21" s="0" t="s">
        <v>167</v>
      </c>
      <c r="J21" s="0" t="n">
        <v>42500</v>
      </c>
    </row>
    <row r="23" customFormat="false" ht="13.2" hidden="false" customHeight="false" outlineLevel="0" collapsed="false">
      <c r="H23" s="54" t="s">
        <v>168</v>
      </c>
      <c r="I23" s="0" t="s">
        <v>169</v>
      </c>
    </row>
    <row r="24" customFormat="false" ht="13.2" hidden="false" customHeight="false" outlineLevel="0" collapsed="false">
      <c r="H24" s="0" t="s">
        <v>170</v>
      </c>
      <c r="I24" s="0" t="s">
        <v>171</v>
      </c>
      <c r="J24" s="0" t="n">
        <v>42700</v>
      </c>
    </row>
    <row r="25" customFormat="false" ht="13.2" hidden="false" customHeight="false" outlineLevel="0" collapsed="false">
      <c r="H25" s="0" t="s">
        <v>172</v>
      </c>
      <c r="I25" s="0" t="s">
        <v>173</v>
      </c>
      <c r="J25" s="0" t="n">
        <v>43500</v>
      </c>
    </row>
    <row r="26" customFormat="false" ht="13.2" hidden="false" customHeight="false" outlineLevel="0" collapsed="false">
      <c r="B26" s="54" t="s">
        <v>174</v>
      </c>
    </row>
    <row r="28" customFormat="false" ht="13.2" hidden="false" customHeight="false" outlineLevel="0" collapsed="false">
      <c r="B28" s="0" t="s">
        <v>175</v>
      </c>
      <c r="C28" s="0" t="n">
        <v>1.293</v>
      </c>
    </row>
    <row r="30" customFormat="false" ht="13.2" hidden="false" customHeight="false" outlineLevel="0" collapsed="false">
      <c r="I30" s="54" t="s">
        <v>176</v>
      </c>
    </row>
    <row r="31" customFormat="false" ht="13.2" hidden="false" customHeight="false" outlineLevel="0" collapsed="false">
      <c r="B31" s="54" t="s">
        <v>70</v>
      </c>
      <c r="H31" s="0" t="s">
        <v>177</v>
      </c>
      <c r="I31" s="0" t="s">
        <v>178</v>
      </c>
      <c r="J31" s="0" t="s">
        <v>179</v>
      </c>
    </row>
    <row r="32" customFormat="false" ht="13.2" hidden="false" customHeight="false" outlineLevel="0" collapsed="false">
      <c r="B32" s="0" t="s">
        <v>26</v>
      </c>
      <c r="C32" s="0" t="n">
        <v>0.777</v>
      </c>
      <c r="H32" s="0" t="s">
        <v>180</v>
      </c>
      <c r="I32" s="0" t="s">
        <v>181</v>
      </c>
      <c r="J32" s="0" t="s">
        <v>182</v>
      </c>
    </row>
    <row r="33" customFormat="false" ht="13.2" hidden="false" customHeight="false" outlineLevel="0" collapsed="false">
      <c r="B33" s="0" t="s">
        <v>183</v>
      </c>
      <c r="C33" s="0" t="s">
        <v>74</v>
      </c>
    </row>
    <row r="34" customFormat="false" ht="13.2" hidden="false" customHeight="false" outlineLevel="0" collapsed="false">
      <c r="B34" s="0" t="s">
        <v>75</v>
      </c>
      <c r="C34" s="0" t="n">
        <v>172</v>
      </c>
      <c r="H34" s="0" t="s">
        <v>184</v>
      </c>
      <c r="J34" s="0" t="s">
        <v>185</v>
      </c>
    </row>
    <row r="35" customFormat="false" ht="13.2" hidden="false" customHeight="false" outlineLevel="0" collapsed="false">
      <c r="B35" s="0" t="s">
        <v>76</v>
      </c>
      <c r="C35" s="0" t="s">
        <v>77</v>
      </c>
    </row>
    <row r="36" customFormat="false" ht="13.2" hidden="false" customHeight="false" outlineLevel="0" collapsed="false">
      <c r="B36" s="0" t="s">
        <v>78</v>
      </c>
      <c r="C36" s="0" t="n">
        <v>3.79</v>
      </c>
    </row>
    <row r="37" customFormat="false" ht="13.2" hidden="false" customHeight="false" outlineLevel="0" collapsed="false">
      <c r="B37" s="0" t="n">
        <v>1</v>
      </c>
      <c r="C37" s="0" t="n">
        <v>3.45</v>
      </c>
    </row>
    <row r="38" customFormat="false" ht="13.2" hidden="false" customHeight="false" outlineLevel="0" collapsed="false">
      <c r="B38" s="0" t="n">
        <v>2</v>
      </c>
      <c r="C38" s="0" t="n">
        <v>1.87</v>
      </c>
    </row>
    <row r="39" customFormat="false" ht="13.2" hidden="false" customHeight="false" outlineLevel="0" collapsed="false">
      <c r="B39" s="0" t="n">
        <v>3</v>
      </c>
      <c r="C39" s="0" t="n">
        <v>1.15</v>
      </c>
    </row>
    <row r="40" customFormat="false" ht="13.2" hidden="false" customHeight="false" outlineLevel="0" collapsed="false">
      <c r="B40" s="0" t="n">
        <v>4</v>
      </c>
      <c r="C40" s="0" t="n">
        <v>0.82</v>
      </c>
    </row>
    <row r="41" customFormat="false" ht="13.2" hidden="false" customHeight="false" outlineLevel="0" collapsed="false">
      <c r="B41" s="0" t="n">
        <v>5</v>
      </c>
      <c r="C41" s="0" t="n">
        <v>0.66</v>
      </c>
    </row>
    <row r="42" customFormat="false" ht="13.2" hidden="false" customHeight="false" outlineLevel="0" collapsed="false">
      <c r="B42" s="0" t="s">
        <v>79</v>
      </c>
      <c r="C42" s="0" t="n">
        <v>0.284</v>
      </c>
    </row>
    <row r="43" customFormat="false" ht="13.2" hidden="false" customHeight="false" outlineLevel="0" collapsed="false">
      <c r="B43" s="0" t="s">
        <v>80</v>
      </c>
      <c r="C43" s="0" t="n">
        <v>0.31</v>
      </c>
    </row>
    <row r="44" customFormat="false" ht="12" hidden="false" customHeight="true" outlineLevel="0" collapsed="false">
      <c r="B44" s="0" t="s">
        <v>81</v>
      </c>
      <c r="C44" s="0" t="n">
        <v>187</v>
      </c>
    </row>
    <row r="45" customFormat="false" ht="132" hidden="false" customHeight="false" outlineLevel="0" collapsed="false">
      <c r="H45" s="69" t="s">
        <v>186</v>
      </c>
    </row>
    <row r="46" customFormat="false" ht="13.2" hidden="false" customHeight="false" outlineLevel="0" collapsed="false">
      <c r="B46" s="0" t="s">
        <v>187</v>
      </c>
    </row>
    <row r="47" customFormat="false" ht="13.2" hidden="false" customHeight="false" outlineLevel="0" collapsed="false">
      <c r="B47" s="0" t="s">
        <v>188</v>
      </c>
    </row>
    <row r="48" customFormat="false" ht="13.2" hidden="false" customHeight="false" outlineLevel="0" collapsed="false">
      <c r="B48" s="0" t="s">
        <v>189</v>
      </c>
    </row>
    <row r="50" customFormat="false" ht="13.2" hidden="false" customHeight="false" outlineLevel="0" collapsed="false">
      <c r="B50" s="0" t="s">
        <v>190</v>
      </c>
    </row>
    <row r="51" customFormat="false" ht="13.2" hidden="false" customHeight="false" outlineLevel="0" collapsed="false">
      <c r="B51" s="0" t="s">
        <v>191</v>
      </c>
    </row>
    <row r="52" customFormat="false" ht="15.75" hidden="false" customHeight="true" outlineLevel="0" collapsed="false">
      <c r="H52" s="58"/>
      <c r="I52" s="58"/>
    </row>
    <row r="53" customFormat="false" ht="13.2" hidden="false" customHeight="false" outlineLevel="0" collapsed="false">
      <c r="B53" s="0" t="s">
        <v>192</v>
      </c>
      <c r="H53" s="58"/>
      <c r="I53" s="58"/>
    </row>
    <row r="54" customFormat="false" ht="13.2" hidden="false" customHeight="false" outlineLevel="0" collapsed="false">
      <c r="B54" s="0" t="s">
        <v>193</v>
      </c>
      <c r="H54" s="58"/>
      <c r="I54" s="58"/>
    </row>
    <row r="55" customFormat="false" ht="13.2" hidden="false" customHeight="false" outlineLevel="0" collapsed="false">
      <c r="B55" s="0" t="s">
        <v>194</v>
      </c>
      <c r="H55" s="58"/>
      <c r="I55" s="58"/>
    </row>
    <row r="61" customFormat="false" ht="76.5" hidden="false" customHeight="true" outlineLevel="0" collapsed="false"/>
    <row r="63" customFormat="false" ht="38.25" hidden="false" customHeight="true" outlineLevel="0" collapsed="false"/>
  </sheetData>
  <mergeCells count="2">
    <mergeCell ref="H52:I52"/>
    <mergeCell ref="H53:I53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J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5" activeCellId="0" sqref="A5"/>
    </sheetView>
  </sheetViews>
  <sheetFormatPr defaultRowHeight="13.2" outlineLevelRow="0" outlineLevelCol="0"/>
  <cols>
    <col collapsed="false" customWidth="true" hidden="false" outlineLevel="0" max="1025" min="1" style="0" width="10.45"/>
  </cols>
  <sheetData>
    <row r="5" customFormat="false" ht="13.2" hidden="false" customHeight="false" outlineLevel="0" collapsed="false">
      <c r="A5" s="0" t="n">
        <v>60</v>
      </c>
      <c r="B5" s="0" t="n">
        <v>626.854074074074</v>
      </c>
      <c r="D5" s="0" t="n">
        <v>0</v>
      </c>
      <c r="F5" s="0" t="n">
        <v>372.78</v>
      </c>
      <c r="H5" s="0" t="n">
        <v>254.074074074074</v>
      </c>
      <c r="J5" s="0" t="n">
        <v>0</v>
      </c>
    </row>
    <row r="6" customFormat="false" ht="13.2" hidden="false" customHeight="false" outlineLevel="0" collapsed="false">
      <c r="A6" s="0" t="n">
        <v>80</v>
      </c>
      <c r="B6" s="0" t="n">
        <v>792.78</v>
      </c>
      <c r="D6" s="0" t="n">
        <v>0</v>
      </c>
      <c r="F6" s="0" t="n">
        <v>372.78</v>
      </c>
      <c r="H6" s="0" t="n">
        <v>420</v>
      </c>
      <c r="J6" s="0" t="n">
        <v>0</v>
      </c>
    </row>
    <row r="7" customFormat="false" ht="13.2" hidden="false" customHeight="false" outlineLevel="0" collapsed="false">
      <c r="A7" s="0" t="n">
        <v>120</v>
      </c>
      <c r="B7" s="0" t="n">
        <v>1249.0762962963</v>
      </c>
      <c r="D7" s="0" t="n">
        <v>0</v>
      </c>
      <c r="F7" s="0" t="n">
        <v>372.78</v>
      </c>
      <c r="H7" s="0" t="n">
        <v>876.296296296297</v>
      </c>
      <c r="J7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LibreOffice/5.2.7.2$Windows_x86 LibreOffice_project/2b7f1e640c46ceb28adf43ee075a6e8b8439ed10</Application>
  <Company>Gibaud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2002-06-28T13:38:56Z</dcterms:created>
  <dc:creator>Claude</dc:creator>
  <dc:description/>
  <dc:language>fr-FR</dc:language>
  <cp:lastModifiedBy>Clément Vial</cp:lastModifiedBy>
  <dcterms:modified xsi:type="dcterms:W3CDTF">2017-06-12T12:26:12Z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Gibaud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