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ff\Documents\OneDrive - he2b.be\Ecole 2019 - 2020\Q2\Bureau_Etude\1803 - Banc d_essais Moteur\BANC_ESSAI_ELECTRONIQUE\Dimensionnement\"/>
    </mc:Choice>
  </mc:AlternateContent>
  <xr:revisionPtr revIDLastSave="0" documentId="8_{FB318240-D4D9-4C6B-B248-25D761F80642}" xr6:coauthVersionLast="44" xr6:coauthVersionMax="44" xr10:uidLastSave="{00000000-0000-0000-0000-000000000000}"/>
  <bookViews>
    <workbookView xWindow="-120" yWindow="-120" windowWidth="29040" windowHeight="15840" xr2:uid="{28F8F8C8-ED8A-44A2-9F5B-5D4A4150BA65}"/>
  </bookViews>
  <sheets>
    <sheet name="Sheet1" sheetId="1" r:id="rId1"/>
    <sheet name="Tests ampli jauge contrainte" sheetId="2" r:id="rId2"/>
    <sheet name="MosfetDissipation" sheetId="3" r:id="rId3"/>
    <sheet name="ConversionRAW_UNIT" sheetId="4" r:id="rId4"/>
  </sheets>
  <definedNames>
    <definedName name="GAIN">'Tests ampli jauge contrainte'!$J$3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23" i="1"/>
  <c r="D11" i="1" l="1"/>
  <c r="L12" i="4" l="1"/>
  <c r="L10" i="4"/>
  <c r="K10" i="4"/>
  <c r="L2" i="4" l="1"/>
  <c r="K2" i="4"/>
  <c r="O2" i="4" s="1"/>
  <c r="O7" i="4"/>
  <c r="K6" i="4"/>
  <c r="O3" i="4"/>
  <c r="E2" i="4"/>
  <c r="I15" i="3" l="1"/>
  <c r="I6" i="3"/>
  <c r="F6" i="3"/>
  <c r="F15" i="3"/>
  <c r="H3" i="3"/>
  <c r="E3" i="3"/>
  <c r="D3" i="3"/>
  <c r="A6" i="3" l="1"/>
  <c r="A15" i="3"/>
  <c r="H12" i="3"/>
  <c r="B15" i="3" s="1"/>
  <c r="E12" i="3"/>
  <c r="D12" i="3"/>
  <c r="B12" i="3"/>
  <c r="C12" i="3" s="1"/>
  <c r="B6" i="3"/>
  <c r="B3" i="3"/>
  <c r="C3" i="3" s="1"/>
  <c r="C15" i="3" l="1"/>
  <c r="D15" i="3" s="1"/>
  <c r="C6" i="3"/>
  <c r="D6" i="3" s="1"/>
  <c r="K10" i="2"/>
  <c r="L10" i="2" s="1"/>
  <c r="L3" i="2"/>
  <c r="D39" i="1" l="1"/>
  <c r="S19" i="1" l="1"/>
  <c r="S21" i="1" s="1"/>
  <c r="C36" i="1" l="1"/>
  <c r="D36" i="1" s="1"/>
  <c r="P19" i="1" l="1"/>
  <c r="P21" i="1" s="1"/>
  <c r="B28" i="1" l="1"/>
  <c r="F3" i="2"/>
  <c r="J3" i="2" l="1"/>
  <c r="F7" i="2" s="1"/>
  <c r="D3" i="2"/>
  <c r="E3" i="2" s="1"/>
  <c r="M3" i="2" l="1"/>
  <c r="K9" i="2"/>
  <c r="B11" i="2"/>
  <c r="K11" i="2"/>
  <c r="K12" i="2" s="1"/>
  <c r="N3" i="2"/>
  <c r="O3" i="2"/>
  <c r="D32" i="1"/>
  <c r="B13" i="2" l="1"/>
  <c r="C16" i="2" s="1"/>
  <c r="B16" i="2"/>
  <c r="A20" i="1"/>
  <c r="C20" i="1" l="1"/>
  <c r="C23" i="1" s="1"/>
  <c r="F15" i="1"/>
  <c r="H15" i="1" s="1"/>
  <c r="J15" i="1"/>
  <c r="F3" i="1"/>
  <c r="H3" i="1" s="1"/>
  <c r="D3" i="1"/>
  <c r="J3" i="1" s="1"/>
  <c r="S2" i="1" s="1"/>
  <c r="T3" i="1" s="1"/>
  <c r="C8" i="1"/>
  <c r="D8" i="1" s="1"/>
  <c r="E15" i="1" l="1"/>
  <c r="J23" i="1"/>
  <c r="E23" i="1"/>
  <c r="F23" i="1"/>
  <c r="E3" i="1"/>
  <c r="G15" i="1"/>
  <c r="D20" i="1"/>
  <c r="C11" i="1"/>
  <c r="G3" i="1"/>
  <c r="G23" i="1" l="1"/>
  <c r="H23" i="1"/>
  <c r="E11" i="1"/>
  <c r="J11" i="1"/>
  <c r="F11" i="1"/>
  <c r="G11" i="1" s="1"/>
  <c r="H11" i="1" l="1"/>
  <c r="N10" i="4" l="1"/>
  <c r="O10" i="4" s="1"/>
  <c r="N11" i="4" s="1"/>
</calcChain>
</file>

<file path=xl/sharedStrings.xml><?xml version="1.0" encoding="utf-8"?>
<sst xmlns="http://schemas.openxmlformats.org/spreadsheetml/2006/main" count="177" uniqueCount="110">
  <si>
    <t>R1</t>
  </si>
  <si>
    <t>R2</t>
  </si>
  <si>
    <t>Gd=R2/R1</t>
  </si>
  <si>
    <t>Instrumentation tension moteur</t>
  </si>
  <si>
    <t>Instrumentation courant moteur</t>
  </si>
  <si>
    <t>Résistance shunt</t>
  </si>
  <si>
    <t>Umax</t>
  </si>
  <si>
    <t>Rshut</t>
  </si>
  <si>
    <t>IMAX</t>
  </si>
  <si>
    <t>PMAX</t>
  </si>
  <si>
    <t>UshuntMAX</t>
  </si>
  <si>
    <t>Plage</t>
  </si>
  <si>
    <t>PR1</t>
  </si>
  <si>
    <t>PR2</t>
  </si>
  <si>
    <t>mV/V</t>
  </si>
  <si>
    <t>mV/A</t>
  </si>
  <si>
    <t>Instrumentation tension Frein</t>
  </si>
  <si>
    <t>Instrumentation courant Frein</t>
  </si>
  <si>
    <t>Rfrein env</t>
  </si>
  <si>
    <t>ohm</t>
  </si>
  <si>
    <t>Instrumentation Jauge de contrainte</t>
  </si>
  <si>
    <t>Résistance de gain</t>
  </si>
  <si>
    <t>Ualim</t>
  </si>
  <si>
    <t>UmaxR1</t>
  </si>
  <si>
    <t>R1POT</t>
  </si>
  <si>
    <t>R</t>
  </si>
  <si>
    <t>GAIN</t>
  </si>
  <si>
    <t>VREF</t>
  </si>
  <si>
    <t>1K</t>
  </si>
  <si>
    <t>VloadMax</t>
  </si>
  <si>
    <t>VloadMin</t>
  </si>
  <si>
    <t>VmaxMes</t>
  </si>
  <si>
    <t>Vref</t>
  </si>
  <si>
    <t>VmaxOut</t>
  </si>
  <si>
    <t>nbits</t>
  </si>
  <si>
    <t>Gain</t>
  </si>
  <si>
    <t>RealResol[µV]</t>
  </si>
  <si>
    <t>ResolADC [µv]</t>
  </si>
  <si>
    <t>ErrorMes[µV]:</t>
  </si>
  <si>
    <t>Max Nm</t>
  </si>
  <si>
    <t>Valim</t>
  </si>
  <si>
    <t>ERREUR MAXIMALE ADC</t>
  </si>
  <si>
    <t>Couple minimum mesurable:</t>
  </si>
  <si>
    <t>Max voulu</t>
  </si>
  <si>
    <t>Vload@MaxVoulu</t>
  </si>
  <si>
    <t>G = 1+100k/RG</t>
  </si>
  <si>
    <t>RG = 100k/(G-1)</t>
  </si>
  <si>
    <t>DesirateG</t>
  </si>
  <si>
    <t>RG</t>
  </si>
  <si>
    <t>mV/N</t>
  </si>
  <si>
    <t>Vload@MAXN</t>
  </si>
  <si>
    <t>FreqCLK</t>
  </si>
  <si>
    <t>F_PWM</t>
  </si>
  <si>
    <t>PRESCALER</t>
  </si>
  <si>
    <t>Counter</t>
  </si>
  <si>
    <t>T</t>
  </si>
  <si>
    <t>Filtre Passe bas UMOT</t>
  </si>
  <si>
    <t>w</t>
  </si>
  <si>
    <t>C</t>
  </si>
  <si>
    <t>f</t>
  </si>
  <si>
    <t>w 1/RC</t>
  </si>
  <si>
    <t>Pont diviseur MOSFET P</t>
  </si>
  <si>
    <t>UR2</t>
  </si>
  <si>
    <t>(UR2 = VGS)</t>
  </si>
  <si>
    <t>U = Ua*R1/(R1+R2)</t>
  </si>
  <si>
    <t>reel:</t>
  </si>
  <si>
    <t>Valeur dans l'IHM:</t>
  </si>
  <si>
    <t>[N]</t>
  </si>
  <si>
    <t>[Nm]</t>
  </si>
  <si>
    <t>Bras de levier</t>
  </si>
  <si>
    <t>digit</t>
  </si>
  <si>
    <t>tc(OFF)</t>
  </si>
  <si>
    <t>tc(ON)</t>
  </si>
  <si>
    <t>Vd</t>
  </si>
  <si>
    <t>I0</t>
  </si>
  <si>
    <t>Pon</t>
  </si>
  <si>
    <t>Von</t>
  </si>
  <si>
    <t>Ts</t>
  </si>
  <si>
    <t>T°</t>
  </si>
  <si>
    <t>RDS(on)</t>
  </si>
  <si>
    <t>RthJC</t>
  </si>
  <si>
    <t>Ton</t>
  </si>
  <si>
    <t>Dissipation MOSFET FREIN</t>
  </si>
  <si>
    <t>Dissipation MOSFET MOTEUR</t>
  </si>
  <si>
    <t>Ps</t>
  </si>
  <si>
    <t>PT</t>
  </si>
  <si>
    <t>Tamb</t>
  </si>
  <si>
    <t>T° calculs</t>
  </si>
  <si>
    <t>TjMax</t>
  </si>
  <si>
    <t>DT</t>
  </si>
  <si>
    <t>UMOT</t>
  </si>
  <si>
    <t>CONV</t>
  </si>
  <si>
    <t>RAW</t>
  </si>
  <si>
    <t>UNIT</t>
  </si>
  <si>
    <t>Real</t>
  </si>
  <si>
    <t>PWM</t>
  </si>
  <si>
    <t>aop:</t>
  </si>
  <si>
    <t>real</t>
  </si>
  <si>
    <t>conv</t>
  </si>
  <si>
    <t>adc</t>
  </si>
  <si>
    <t>Uadc</t>
  </si>
  <si>
    <t>IMOT</t>
  </si>
  <si>
    <t>Imot</t>
  </si>
  <si>
    <t>Conv</t>
  </si>
  <si>
    <t>Measure</t>
  </si>
  <si>
    <t>Ampli</t>
  </si>
  <si>
    <t>UR</t>
  </si>
  <si>
    <t>Gd=1+R2/R1</t>
  </si>
  <si>
    <t>24mV =&gt; 50N</t>
  </si>
  <si>
    <t>Pont diviseur tests jauge contrainte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</si>
</sst>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</cellStyleXfs>
  <cellXfs count="19">
    <xf numFmtId="0" fontId="0" fillId="0" borderId="0" xfId="0"/>
    <xf numFmtId="0" fontId="0" fillId="7" borderId="3" xfId="6" applyFont="1"/>
    <xf numFmtId="0" fontId="4" fillId="4" borderId="1" xfId="3"/>
    <xf numFmtId="0" fontId="6" fillId="6" borderId="2" xfId="5"/>
    <xf numFmtId="0" fontId="0" fillId="7" borderId="4" xfId="6" applyFont="1" applyBorder="1"/>
    <xf numFmtId="0" fontId="0" fillId="7" borderId="5" xfId="6" applyFont="1" applyBorder="1"/>
    <xf numFmtId="0" fontId="5" fillId="5" borderId="1" xfId="4"/>
    <xf numFmtId="0" fontId="0" fillId="0" borderId="0" xfId="0" applyAlignment="1">
      <alignment wrapText="1"/>
    </xf>
    <xf numFmtId="0" fontId="2" fillId="2" borderId="0" xfId="1" applyAlignment="1">
      <alignment horizontal="center" vertical="center" wrapText="1"/>
    </xf>
    <xf numFmtId="0" fontId="6" fillId="6" borderId="2" xfId="5" applyAlignment="1">
      <alignment horizontal="center" vertical="center" wrapText="1"/>
    </xf>
    <xf numFmtId="0" fontId="7" fillId="6" borderId="2" xfId="7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8" borderId="0" xfId="8"/>
    <xf numFmtId="0" fontId="4" fillId="4" borderId="0" xfId="3" applyBorder="1"/>
    <xf numFmtId="164" fontId="0" fillId="0" borderId="0" xfId="0" applyNumberFormat="1"/>
    <xf numFmtId="0" fontId="6" fillId="6" borderId="2" xfId="5" applyNumberFormat="1"/>
    <xf numFmtId="0" fontId="2" fillId="2" borderId="0" xfId="1" applyAlignment="1"/>
    <xf numFmtId="0" fontId="3" fillId="3" borderId="0" xfId="2" applyAlignment="1">
      <alignment horizontal="center"/>
    </xf>
    <xf numFmtId="0" fontId="2" fillId="2" borderId="0" xfId="1" applyAlignment="1">
      <alignment horizontal="center"/>
    </xf>
  </cellXfs>
  <cellStyles count="9">
    <cellStyle name="Bad" xfId="2" builtinId="27"/>
    <cellStyle name="Calculation" xfId="4" builtinId="22"/>
    <cellStyle name="Check Cell" xfId="5" builtinId="23"/>
    <cellStyle name="Good" xfId="1" builtinId="26"/>
    <cellStyle name="Hyperlink" xfId="7" builtinId="8"/>
    <cellStyle name="Input" xfId="3" builtinId="20"/>
    <cellStyle name="Neutral" xfId="8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84809</xdr:colOff>
      <xdr:row>0</xdr:row>
      <xdr:rowOff>171450</xdr:rowOff>
    </xdr:from>
    <xdr:to>
      <xdr:col>17</xdr:col>
      <xdr:colOff>521252</xdr:colOff>
      <xdr:row>10</xdr:row>
      <xdr:rowOff>7555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79795-29AC-408C-90A4-1613D7A30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9009" y="171450"/>
          <a:ext cx="2474793" cy="182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load@MAXN" TargetMode="External"/><Relationship Id="rId1" Type="http://schemas.openxmlformats.org/officeDocument/2006/relationships/hyperlink" Target="mailto:Vload@MaxVoul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458D-6329-4E28-BC35-2EA03CD58870}">
  <sheetPr>
    <pageSetUpPr fitToPage="1"/>
  </sheetPr>
  <dimension ref="A1:T40"/>
  <sheetViews>
    <sheetView showGridLines="0" tabSelected="1" topLeftCell="A7" zoomScaleNormal="100" workbookViewId="0">
      <selection activeCell="B39" sqref="B39"/>
    </sheetView>
  </sheetViews>
  <sheetFormatPr defaultRowHeight="15" x14ac:dyDescent="0.25"/>
  <cols>
    <col min="1" max="1" width="12" bestFit="1" customWidth="1"/>
    <col min="3" max="3" width="11.42578125" bestFit="1" customWidth="1"/>
    <col min="4" max="4" width="13.42578125" bestFit="1" customWidth="1"/>
    <col min="5" max="5" width="22.85546875" bestFit="1" customWidth="1"/>
    <col min="6" max="6" width="11.7109375" bestFit="1" customWidth="1"/>
    <col min="7" max="7" width="12.85546875" bestFit="1" customWidth="1"/>
    <col min="10" max="10" width="12.85546875" bestFit="1" customWidth="1"/>
    <col min="16" max="16" width="12.28515625" bestFit="1" customWidth="1"/>
    <col min="18" max="18" width="11.42578125" bestFit="1" customWidth="1"/>
    <col min="19" max="19" width="13.7109375" bestFit="1" customWidth="1"/>
  </cols>
  <sheetData>
    <row r="1" spans="1:20" x14ac:dyDescent="0.25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6"/>
      <c r="L1" s="16"/>
    </row>
    <row r="2" spans="1:20" ht="15.75" thickBot="1" x14ac:dyDescent="0.3">
      <c r="A2" s="1" t="s">
        <v>0</v>
      </c>
      <c r="B2" s="1" t="s">
        <v>1</v>
      </c>
      <c r="C2" s="1" t="s">
        <v>6</v>
      </c>
      <c r="D2" s="4" t="s">
        <v>2</v>
      </c>
      <c r="E2" s="4" t="s">
        <v>11</v>
      </c>
      <c r="F2" s="4" t="s">
        <v>8</v>
      </c>
      <c r="G2" s="4" t="s">
        <v>12</v>
      </c>
      <c r="H2" s="4" t="s">
        <v>13</v>
      </c>
      <c r="J2" s="5" t="s">
        <v>14</v>
      </c>
      <c r="S2">
        <f>J3/1000*4095/3.3</f>
        <v>31.682785299806575</v>
      </c>
    </row>
    <row r="3" spans="1:20" ht="16.5" thickTop="1" thickBot="1" x14ac:dyDescent="0.3">
      <c r="A3" s="2">
        <v>470000</v>
      </c>
      <c r="B3" s="2">
        <v>12000</v>
      </c>
      <c r="C3" s="2">
        <v>125</v>
      </c>
      <c r="D3" s="3">
        <f>B3/A3</f>
        <v>2.553191489361702E-2</v>
      </c>
      <c r="E3" s="3" t="str">
        <f>"0 - "&amp;C3*D3</f>
        <v>0 - 3,19148936170213</v>
      </c>
      <c r="F3" s="3">
        <f>C3/(A3+B3)</f>
        <v>2.5933609958506224E-4</v>
      </c>
      <c r="G3" s="3" t="str">
        <f>ROUND(1000*F3*F3*A3,3)&amp;"mW"</f>
        <v>31,61mW</v>
      </c>
      <c r="H3" s="3" t="str">
        <f>ROUND(1000*F3*F3*B3,3)&amp;"mW"</f>
        <v>0,807mW</v>
      </c>
      <c r="J3" s="6">
        <f>1000*D3</f>
        <v>25.531914893617021</v>
      </c>
      <c r="T3">
        <f>S2*5</f>
        <v>158.41392649903287</v>
      </c>
    </row>
    <row r="4" spans="1:20" ht="15.75" thickTop="1" x14ac:dyDescent="0.25">
      <c r="B4">
        <v>12000</v>
      </c>
    </row>
    <row r="5" spans="1:20" x14ac:dyDescent="0.25">
      <c r="A5" s="18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6"/>
      <c r="L5" s="16"/>
    </row>
    <row r="6" spans="1:20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</row>
    <row r="7" spans="1:20" ht="15.75" thickBot="1" x14ac:dyDescent="0.3">
      <c r="A7" s="1" t="s">
        <v>8</v>
      </c>
      <c r="B7" s="1" t="s">
        <v>7</v>
      </c>
      <c r="C7" s="1" t="s">
        <v>10</v>
      </c>
      <c r="D7" s="1" t="s">
        <v>9</v>
      </c>
    </row>
    <row r="8" spans="1:20" ht="16.5" thickTop="1" thickBot="1" x14ac:dyDescent="0.3">
      <c r="A8" s="2">
        <v>10</v>
      </c>
      <c r="B8" s="2">
        <v>0.05</v>
      </c>
      <c r="C8" s="3">
        <f>A8*B8</f>
        <v>0.5</v>
      </c>
      <c r="D8" s="3">
        <f>C8*A8</f>
        <v>5</v>
      </c>
    </row>
    <row r="9" spans="1:20" ht="15.75" thickTop="1" x14ac:dyDescent="0.25"/>
    <row r="10" spans="1:20" ht="15.75" thickBot="1" x14ac:dyDescent="0.3">
      <c r="A10" s="1" t="s">
        <v>0</v>
      </c>
      <c r="B10" s="1" t="s">
        <v>1</v>
      </c>
      <c r="C10" s="1" t="s">
        <v>6</v>
      </c>
      <c r="D10" s="4" t="s">
        <v>107</v>
      </c>
      <c r="E10" s="4" t="s">
        <v>11</v>
      </c>
      <c r="F10" s="4" t="s">
        <v>8</v>
      </c>
      <c r="G10" s="4" t="s">
        <v>12</v>
      </c>
      <c r="H10" s="4" t="s">
        <v>13</v>
      </c>
      <c r="J10" s="5" t="s">
        <v>15</v>
      </c>
    </row>
    <row r="11" spans="1:20" ht="16.5" thickTop="1" thickBot="1" x14ac:dyDescent="0.3">
      <c r="A11" s="2">
        <v>82000</v>
      </c>
      <c r="B11" s="2">
        <v>430000</v>
      </c>
      <c r="C11" s="3">
        <f>C8</f>
        <v>0.5</v>
      </c>
      <c r="D11" s="3">
        <f>1+B11/A11</f>
        <v>6.2439024390243905</v>
      </c>
      <c r="E11" s="3" t="str">
        <f>"0 - "&amp;C11*D11</f>
        <v>0 - 3,1219512195122</v>
      </c>
      <c r="F11" s="3">
        <f>C11/(A11+B11)</f>
        <v>9.7656250000000002E-7</v>
      </c>
      <c r="G11" s="3" t="str">
        <f>ROUND(1000*F11*F11*A11,3)&amp;"mW"</f>
        <v>0mW</v>
      </c>
      <c r="H11" s="3" t="str">
        <f>ROUND(1000*F11*F11*B11,3)&amp;"mW"</f>
        <v>0mW</v>
      </c>
      <c r="J11" s="6">
        <f>1000*D11*C11/A8</f>
        <v>312.19512195121951</v>
      </c>
    </row>
    <row r="12" spans="1:20" ht="15.75" thickTop="1" x14ac:dyDescent="0.25"/>
    <row r="13" spans="1:20" x14ac:dyDescent="0.25">
      <c r="A13" s="18" t="s">
        <v>16</v>
      </c>
      <c r="B13" s="18"/>
      <c r="C13" s="18"/>
      <c r="D13" s="18"/>
      <c r="E13" s="18"/>
      <c r="F13" s="18"/>
      <c r="G13" s="18"/>
      <c r="H13" s="18"/>
      <c r="I13" s="18"/>
      <c r="J13" s="18"/>
      <c r="K13" s="16"/>
      <c r="L13" s="16"/>
      <c r="M13" t="s">
        <v>18</v>
      </c>
      <c r="N13">
        <v>60</v>
      </c>
      <c r="O13" t="s">
        <v>19</v>
      </c>
    </row>
    <row r="14" spans="1:20" ht="15.75" thickBot="1" x14ac:dyDescent="0.3">
      <c r="A14" s="1" t="s">
        <v>0</v>
      </c>
      <c r="B14" s="1" t="s">
        <v>1</v>
      </c>
      <c r="C14" s="1" t="s">
        <v>6</v>
      </c>
      <c r="D14" s="4" t="s">
        <v>2</v>
      </c>
      <c r="E14" s="4" t="s">
        <v>11</v>
      </c>
      <c r="F14" s="4" t="s">
        <v>8</v>
      </c>
      <c r="G14" s="4" t="s">
        <v>12</v>
      </c>
      <c r="H14" s="4" t="s">
        <v>13</v>
      </c>
      <c r="J14" s="5" t="s">
        <v>14</v>
      </c>
    </row>
    <row r="15" spans="1:20" ht="16.5" thickTop="1" thickBot="1" x14ac:dyDescent="0.3">
      <c r="A15" s="2">
        <v>470000</v>
      </c>
      <c r="B15" s="2">
        <v>12000</v>
      </c>
      <c r="C15" s="2">
        <v>125</v>
      </c>
      <c r="D15" s="3">
        <f>B15/A15</f>
        <v>2.553191489361702E-2</v>
      </c>
      <c r="E15" s="3" t="str">
        <f>"0 - "&amp;C15*D15</f>
        <v>0 - 3,19148936170213</v>
      </c>
      <c r="F15" s="3">
        <f>C15/(A15+B15)</f>
        <v>2.5933609958506224E-4</v>
      </c>
      <c r="G15" s="3" t="str">
        <f>ROUND(1000*F15*F15*A15,3)&amp;"mW"</f>
        <v>31,61mW</v>
      </c>
      <c r="H15" s="3" t="str">
        <f>ROUND(1000*F15*F15*B15,3)&amp;"mW"</f>
        <v>0,807mW</v>
      </c>
      <c r="J15" s="6">
        <f>1000*D15</f>
        <v>25.531914893617021</v>
      </c>
    </row>
    <row r="16" spans="1:20" ht="15.75" thickTop="1" x14ac:dyDescent="0.25">
      <c r="O16" t="s">
        <v>51</v>
      </c>
      <c r="P16">
        <v>48000000</v>
      </c>
      <c r="R16" t="s">
        <v>51</v>
      </c>
      <c r="S16">
        <v>48000000</v>
      </c>
    </row>
    <row r="17" spans="1:19" x14ac:dyDescent="0.25">
      <c r="A17" s="18" t="s">
        <v>17</v>
      </c>
      <c r="B17" s="18"/>
      <c r="C17" s="18"/>
      <c r="D17" s="18"/>
      <c r="E17" s="18"/>
      <c r="F17" s="18"/>
      <c r="G17" s="18"/>
      <c r="H17" s="18"/>
      <c r="I17" s="18"/>
      <c r="J17" s="18"/>
      <c r="K17" s="16"/>
      <c r="L17" s="16"/>
      <c r="O17" t="s">
        <v>52</v>
      </c>
      <c r="P17">
        <v>11765</v>
      </c>
      <c r="R17" t="s">
        <v>52</v>
      </c>
      <c r="S17">
        <v>500</v>
      </c>
    </row>
    <row r="18" spans="1:19" x14ac:dyDescent="0.25">
      <c r="A18" s="17" t="s">
        <v>5</v>
      </c>
      <c r="B18" s="17"/>
      <c r="C18" s="17"/>
      <c r="D18" s="17"/>
      <c r="E18" s="17"/>
      <c r="F18" s="17"/>
      <c r="G18" s="17"/>
      <c r="H18" s="17"/>
      <c r="I18" s="17"/>
      <c r="O18" t="s">
        <v>54</v>
      </c>
      <c r="P18">
        <v>4095</v>
      </c>
      <c r="R18" t="s">
        <v>54</v>
      </c>
      <c r="S18">
        <v>2000</v>
      </c>
    </row>
    <row r="19" spans="1:19" ht="15.75" thickBot="1" x14ac:dyDescent="0.3">
      <c r="A19" s="1" t="s">
        <v>8</v>
      </c>
      <c r="B19" s="1" t="s">
        <v>7</v>
      </c>
      <c r="C19" s="1" t="s">
        <v>10</v>
      </c>
      <c r="D19" s="1" t="s">
        <v>9</v>
      </c>
      <c r="O19" t="s">
        <v>55</v>
      </c>
      <c r="P19">
        <f>1/P17</f>
        <v>8.499787505312367E-5</v>
      </c>
      <c r="R19" t="s">
        <v>55</v>
      </c>
      <c r="S19">
        <f>1/S17</f>
        <v>2E-3</v>
      </c>
    </row>
    <row r="20" spans="1:19" ht="16.5" thickTop="1" thickBot="1" x14ac:dyDescent="0.3">
      <c r="A20" s="2">
        <f>C15/N13</f>
        <v>2.0833333333333335</v>
      </c>
      <c r="B20" s="2">
        <v>0.05</v>
      </c>
      <c r="C20" s="3">
        <f>A20*B20</f>
        <v>0.10416666666666669</v>
      </c>
      <c r="D20" s="3">
        <f>C20*A20</f>
        <v>0.21701388888888895</v>
      </c>
    </row>
    <row r="21" spans="1:19" ht="15.75" thickTop="1" x14ac:dyDescent="0.25">
      <c r="O21" t="s">
        <v>53</v>
      </c>
      <c r="P21">
        <f>P19/P18*P16</f>
        <v>0.99631208853478292</v>
      </c>
      <c r="R21" t="s">
        <v>53</v>
      </c>
      <c r="S21">
        <f>S19/S18*S16</f>
        <v>48</v>
      </c>
    </row>
    <row r="22" spans="1:19" ht="15.75" thickBot="1" x14ac:dyDescent="0.3">
      <c r="A22" s="1" t="s">
        <v>0</v>
      </c>
      <c r="B22" s="1" t="s">
        <v>1</v>
      </c>
      <c r="C22" s="1" t="s">
        <v>6</v>
      </c>
      <c r="D22" s="4" t="s">
        <v>107</v>
      </c>
      <c r="E22" s="4" t="s">
        <v>11</v>
      </c>
      <c r="F22" s="4" t="s">
        <v>8</v>
      </c>
      <c r="G22" s="4" t="s">
        <v>12</v>
      </c>
      <c r="H22" s="4" t="s">
        <v>13</v>
      </c>
      <c r="J22" s="5" t="s">
        <v>15</v>
      </c>
    </row>
    <row r="23" spans="1:19" ht="16.5" thickTop="1" thickBot="1" x14ac:dyDescent="0.3">
      <c r="A23" s="2">
        <v>27000</v>
      </c>
      <c r="B23" s="2">
        <v>820000</v>
      </c>
      <c r="C23" s="3">
        <f>C20</f>
        <v>0.10416666666666669</v>
      </c>
      <c r="D23" s="3">
        <f>1+B23/A23</f>
        <v>31.37037037037037</v>
      </c>
      <c r="E23" s="3" t="str">
        <f>"0 - "&amp;C23*D23</f>
        <v>0 - 3,26774691358025</v>
      </c>
      <c r="F23" s="3">
        <f>C23/(A23+B23)</f>
        <v>1.2298307752853209E-7</v>
      </c>
      <c r="G23" s="3" t="str">
        <f>ROUND(1000*F23*F23*A23,3)&amp;"mW"</f>
        <v>0mW</v>
      </c>
      <c r="H23" s="3" t="str">
        <f>ROUND(1000*F23*F23*B23,3)&amp;"mW"</f>
        <v>0mW</v>
      </c>
      <c r="J23" s="6">
        <f>1000*D23*C23/A20</f>
        <v>1568.5185185185185</v>
      </c>
    </row>
    <row r="24" spans="1:19" ht="15.75" thickTop="1" x14ac:dyDescent="0.25"/>
    <row r="25" spans="1:19" x14ac:dyDescent="0.25">
      <c r="A25" s="18" t="s">
        <v>20</v>
      </c>
      <c r="B25" s="18"/>
      <c r="C25" s="18"/>
      <c r="D25" s="18"/>
      <c r="E25" s="18"/>
      <c r="F25" s="18"/>
      <c r="G25" s="18"/>
      <c r="H25" s="18"/>
      <c r="I25" s="18"/>
      <c r="J25" s="18"/>
      <c r="K25" s="16"/>
      <c r="L25" s="16"/>
    </row>
    <row r="26" spans="1:19" x14ac:dyDescent="0.25">
      <c r="A26" s="17" t="s">
        <v>21</v>
      </c>
      <c r="B26" s="17"/>
      <c r="C26" s="17"/>
      <c r="D26" s="17"/>
      <c r="E26" s="17"/>
      <c r="F26" s="17"/>
      <c r="G26" s="17"/>
      <c r="H26" s="17"/>
      <c r="I26" s="17"/>
      <c r="J26" t="s">
        <v>45</v>
      </c>
    </row>
    <row r="27" spans="1:19" x14ac:dyDescent="0.25">
      <c r="A27" s="1" t="s">
        <v>47</v>
      </c>
      <c r="B27" s="1" t="s">
        <v>48</v>
      </c>
      <c r="J27" t="s">
        <v>46</v>
      </c>
    </row>
    <row r="28" spans="1:19" x14ac:dyDescent="0.25">
      <c r="A28" s="2">
        <v>56</v>
      </c>
      <c r="B28" s="2">
        <f>100000/(A28-1)</f>
        <v>1818.1818181818182</v>
      </c>
    </row>
    <row r="30" spans="1:19" x14ac:dyDescent="0.25">
      <c r="A30" s="17" t="s">
        <v>109</v>
      </c>
      <c r="B30" s="17"/>
      <c r="C30" s="17"/>
      <c r="D30" s="17"/>
      <c r="E30" s="17"/>
      <c r="F30" s="17"/>
      <c r="G30" s="17"/>
      <c r="H30" s="17"/>
      <c r="I30" s="17"/>
    </row>
    <row r="31" spans="1:19" ht="15.75" thickBot="1" x14ac:dyDescent="0.3">
      <c r="A31" s="1" t="s">
        <v>22</v>
      </c>
      <c r="B31" s="1" t="s">
        <v>23</v>
      </c>
      <c r="C31" s="1" t="s">
        <v>24</v>
      </c>
      <c r="D31" s="1" t="s">
        <v>1</v>
      </c>
    </row>
    <row r="32" spans="1:19" ht="16.5" thickTop="1" thickBot="1" x14ac:dyDescent="0.3">
      <c r="A32" s="2">
        <v>5</v>
      </c>
      <c r="B32" s="2">
        <v>2.5000000000000001E-2</v>
      </c>
      <c r="C32" s="2">
        <v>100</v>
      </c>
      <c r="D32" s="3">
        <f>A32*C32/B32</f>
        <v>20000</v>
      </c>
    </row>
    <row r="33" spans="1:9" ht="15.75" thickTop="1" x14ac:dyDescent="0.25"/>
    <row r="34" spans="1:9" x14ac:dyDescent="0.25">
      <c r="A34" s="17" t="s">
        <v>56</v>
      </c>
      <c r="B34" s="17"/>
      <c r="C34" s="17"/>
      <c r="D34" s="17"/>
      <c r="E34" s="17"/>
      <c r="F34" s="17"/>
      <c r="G34" s="17"/>
      <c r="H34" s="17"/>
      <c r="I34" s="17"/>
    </row>
    <row r="35" spans="1:9" x14ac:dyDescent="0.25">
      <c r="A35" t="s">
        <v>25</v>
      </c>
      <c r="B35" t="s">
        <v>59</v>
      </c>
      <c r="C35" t="s">
        <v>57</v>
      </c>
      <c r="D35" t="s">
        <v>58</v>
      </c>
    </row>
    <row r="36" spans="1:9" x14ac:dyDescent="0.25">
      <c r="A36">
        <v>470000</v>
      </c>
      <c r="B36">
        <v>5</v>
      </c>
      <c r="C36">
        <f>B36*2*PI()</f>
        <v>31.415926535897931</v>
      </c>
      <c r="D36">
        <f>1/(C36*A36)</f>
        <v>6.7725507698678864E-8</v>
      </c>
      <c r="E36" t="s">
        <v>60</v>
      </c>
      <c r="G36">
        <v>3.3862753849339432E-8</v>
      </c>
    </row>
    <row r="37" spans="1:9" x14ac:dyDescent="0.25">
      <c r="A37" s="17" t="s">
        <v>61</v>
      </c>
      <c r="B37" s="17"/>
      <c r="C37" s="17"/>
      <c r="D37" s="17"/>
      <c r="E37" s="17"/>
      <c r="F37" s="17"/>
      <c r="G37" s="17"/>
      <c r="H37" s="17"/>
      <c r="I37" s="17"/>
    </row>
    <row r="38" spans="1:9" ht="15.75" thickBot="1" x14ac:dyDescent="0.3">
      <c r="A38" s="1" t="s">
        <v>22</v>
      </c>
      <c r="B38" s="1" t="s">
        <v>62</v>
      </c>
      <c r="C38" s="1" t="s">
        <v>0</v>
      </c>
      <c r="D38" s="1" t="s">
        <v>1</v>
      </c>
      <c r="E38" s="4" t="s">
        <v>63</v>
      </c>
    </row>
    <row r="39" spans="1:9" ht="16.5" thickTop="1" thickBot="1" x14ac:dyDescent="0.3">
      <c r="A39" s="2">
        <v>130</v>
      </c>
      <c r="B39" s="2">
        <v>10</v>
      </c>
      <c r="C39" s="2">
        <v>10000</v>
      </c>
      <c r="D39" s="3">
        <f>C39*(B39/A39-1)</f>
        <v>-9230.7692307692305</v>
      </c>
      <c r="F39" t="s">
        <v>64</v>
      </c>
    </row>
    <row r="40" spans="1:9" ht="15.75" thickTop="1" x14ac:dyDescent="0.25"/>
  </sheetData>
  <mergeCells count="11">
    <mergeCell ref="A37:I37"/>
    <mergeCell ref="A34:I34"/>
    <mergeCell ref="A26:I26"/>
    <mergeCell ref="A30:I30"/>
    <mergeCell ref="A25:J25"/>
    <mergeCell ref="A18:I18"/>
    <mergeCell ref="A6:I6"/>
    <mergeCell ref="A1:J1"/>
    <mergeCell ref="A5:J5"/>
    <mergeCell ref="A13:J13"/>
    <mergeCell ref="A17:J17"/>
  </mergeCells>
  <pageMargins left="1" right="1" top="1" bottom="1" header="0.5" footer="0.5"/>
  <pageSetup paperSize="9" scale="3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55A2-62EF-423D-B38E-0433B5E4A93E}">
  <dimension ref="A1:O16"/>
  <sheetViews>
    <sheetView zoomScale="119" workbookViewId="0">
      <selection activeCell="L2" sqref="L2:O3"/>
    </sheetView>
  </sheetViews>
  <sheetFormatPr defaultRowHeight="15" x14ac:dyDescent="0.25"/>
  <cols>
    <col min="2" max="2" width="10.140625" bestFit="1" customWidth="1"/>
    <col min="5" max="5" width="9.7109375" customWidth="1"/>
    <col min="6" max="6" width="8" customWidth="1"/>
    <col min="9" max="9" width="9.85546875" bestFit="1" customWidth="1"/>
    <col min="10" max="10" width="9.5703125" bestFit="1" customWidth="1"/>
    <col min="11" max="11" width="11.85546875" bestFit="1" customWidth="1"/>
    <col min="12" max="13" width="13.7109375" bestFit="1" customWidth="1"/>
    <col min="14" max="14" width="13.5703125" bestFit="1" customWidth="1"/>
    <col min="15" max="15" width="27.28515625" bestFit="1" customWidth="1"/>
  </cols>
  <sheetData>
    <row r="1" spans="1:15" ht="15.75" thickBot="1" x14ac:dyDescent="0.3">
      <c r="N1" t="s">
        <v>41</v>
      </c>
    </row>
    <row r="2" spans="1:15" ht="31.5" customHeight="1" thickTop="1" thickBot="1" x14ac:dyDescent="0.3">
      <c r="A2" s="8" t="s">
        <v>39</v>
      </c>
      <c r="B2" s="8" t="s">
        <v>43</v>
      </c>
      <c r="C2" s="8" t="s">
        <v>40</v>
      </c>
      <c r="D2" s="9" t="s">
        <v>49</v>
      </c>
      <c r="E2" s="10" t="s">
        <v>44</v>
      </c>
      <c r="F2" s="10" t="s">
        <v>50</v>
      </c>
      <c r="G2" s="8" t="s">
        <v>31</v>
      </c>
      <c r="H2" s="8" t="s">
        <v>33</v>
      </c>
      <c r="I2" s="8" t="s">
        <v>32</v>
      </c>
      <c r="J2" s="9" t="s">
        <v>35</v>
      </c>
      <c r="K2" s="8" t="s">
        <v>34</v>
      </c>
      <c r="L2" s="9" t="s">
        <v>37</v>
      </c>
      <c r="M2" s="9" t="s">
        <v>36</v>
      </c>
      <c r="N2" s="9" t="s">
        <v>38</v>
      </c>
      <c r="O2" s="9" t="s">
        <v>42</v>
      </c>
    </row>
    <row r="3" spans="1:15" ht="16.5" thickTop="1" thickBot="1" x14ac:dyDescent="0.3">
      <c r="A3" s="2">
        <v>50</v>
      </c>
      <c r="B3" s="2">
        <v>50</v>
      </c>
      <c r="C3" s="2">
        <v>12</v>
      </c>
      <c r="D3" s="3">
        <f>F3/A3/2*1000</f>
        <v>0.24000000000000002</v>
      </c>
      <c r="E3" s="3">
        <f>D3*B3</f>
        <v>12.000000000000002</v>
      </c>
      <c r="F3" s="3">
        <f>C3*2/1000/(50/A3)</f>
        <v>2.4E-2</v>
      </c>
      <c r="G3" s="1">
        <v>3.3</v>
      </c>
      <c r="H3" s="1">
        <v>3</v>
      </c>
      <c r="I3" s="2">
        <v>1.65</v>
      </c>
      <c r="J3" s="3">
        <f>(H3-I3)/F3</f>
        <v>56.25</v>
      </c>
      <c r="K3" s="2">
        <v>16</v>
      </c>
      <c r="L3" s="3">
        <f>G3/(2^K3-1)*1000*1000</f>
        <v>50.354772259098183</v>
      </c>
      <c r="M3" s="3">
        <f>L3/GAIN</f>
        <v>0.89519595127285656</v>
      </c>
      <c r="N3" s="3">
        <f>M3*2</f>
        <v>1.7903919025457131</v>
      </c>
      <c r="O3" s="15">
        <f>A3/F3*M3*D12*(10^-6)</f>
        <v>3.4688843111823194E-4</v>
      </c>
    </row>
    <row r="4" spans="1:15" ht="15.75" thickTop="1" x14ac:dyDescent="0.25">
      <c r="E4" s="7"/>
    </row>
    <row r="5" spans="1:15" x14ac:dyDescent="0.25">
      <c r="E5" s="7"/>
    </row>
    <row r="6" spans="1:15" x14ac:dyDescent="0.25">
      <c r="E6" s="7"/>
    </row>
    <row r="7" spans="1:15" x14ac:dyDescent="0.25">
      <c r="F7">
        <f>F3*GAIN</f>
        <v>1.35</v>
      </c>
      <c r="O7" t="s">
        <v>108</v>
      </c>
    </row>
    <row r="9" spans="1:15" x14ac:dyDescent="0.25">
      <c r="B9" t="s">
        <v>66</v>
      </c>
      <c r="K9">
        <f>G3*1000/(GAIN*((2^K3)-1))</f>
        <v>8.9519595127285671E-4</v>
      </c>
    </row>
    <row r="10" spans="1:15" x14ac:dyDescent="0.25">
      <c r="B10" t="s">
        <v>67</v>
      </c>
      <c r="J10">
        <v>27000</v>
      </c>
      <c r="K10">
        <f>J10*G3/(2^K3-1)</f>
        <v>1.3595788509956512</v>
      </c>
      <c r="L10">
        <f>K10*50/24*1000</f>
        <v>2832.4559395742735</v>
      </c>
    </row>
    <row r="11" spans="1:15" x14ac:dyDescent="0.25">
      <c r="B11">
        <f>(G3/(2^K3-1))*(1/GAIN)*(B3/F3)</f>
        <v>1.8649915651517848E-3</v>
      </c>
      <c r="D11" t="s">
        <v>69</v>
      </c>
      <c r="J11" t="s">
        <v>65</v>
      </c>
      <c r="K11">
        <f>K10/GAIN</f>
        <v>2.4170290684367133E-2</v>
      </c>
    </row>
    <row r="12" spans="1:15" x14ac:dyDescent="0.25">
      <c r="B12" t="s">
        <v>68</v>
      </c>
      <c r="D12">
        <v>0.186</v>
      </c>
      <c r="K12">
        <f>B3/F3*K11</f>
        <v>50.354772259098198</v>
      </c>
    </row>
    <row r="13" spans="1:15" x14ac:dyDescent="0.25">
      <c r="B13">
        <f>B11*D12</f>
        <v>3.4688843111823199E-4</v>
      </c>
    </row>
    <row r="14" spans="1:15" x14ac:dyDescent="0.25">
      <c r="F14" t="s">
        <v>25</v>
      </c>
      <c r="G14" t="s">
        <v>26</v>
      </c>
      <c r="H14" t="s">
        <v>27</v>
      </c>
      <c r="I14" t="s">
        <v>29</v>
      </c>
      <c r="J14" t="s">
        <v>30</v>
      </c>
    </row>
    <row r="15" spans="1:15" x14ac:dyDescent="0.25">
      <c r="A15" t="s">
        <v>70</v>
      </c>
      <c r="B15" t="s">
        <v>67</v>
      </c>
      <c r="C15" t="s">
        <v>68</v>
      </c>
      <c r="F15" t="s">
        <v>28</v>
      </c>
      <c r="G15">
        <v>100</v>
      </c>
      <c r="H15">
        <v>4.7</v>
      </c>
      <c r="I15">
        <v>5.0000000000000001E-3</v>
      </c>
    </row>
    <row r="16" spans="1:15" x14ac:dyDescent="0.25">
      <c r="A16">
        <v>100</v>
      </c>
      <c r="B16">
        <f>A16*B11</f>
        <v>0.18649915651517848</v>
      </c>
      <c r="C16">
        <f>A16*B13</f>
        <v>3.46888431118232E-2</v>
      </c>
    </row>
  </sheetData>
  <hyperlinks>
    <hyperlink ref="E2" r:id="rId1" xr:uid="{0E24B5AB-EEC3-411A-9647-63C423E47FC4}"/>
    <hyperlink ref="F2" r:id="rId2" xr:uid="{33B4C620-F663-471F-92E4-4C86498B936D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1212-90C3-4A5D-844B-41CC5E55BA6E}">
  <sheetPr>
    <pageSetUpPr fitToPage="1"/>
  </sheetPr>
  <dimension ref="A1:L16"/>
  <sheetViews>
    <sheetView showGridLines="0" zoomScale="145" zoomScaleNormal="145" workbookViewId="0">
      <selection sqref="A1:K15"/>
    </sheetView>
  </sheetViews>
  <sheetFormatPr defaultRowHeight="15" x14ac:dyDescent="0.25"/>
  <cols>
    <col min="2" max="5" width="12.42578125" bestFit="1" customWidth="1"/>
  </cols>
  <sheetData>
    <row r="1" spans="1:12" x14ac:dyDescent="0.25">
      <c r="A1" s="18" t="s">
        <v>83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6"/>
    </row>
    <row r="2" spans="1:12" ht="15.75" thickBot="1" x14ac:dyDescent="0.3">
      <c r="A2" s="12" t="s">
        <v>59</v>
      </c>
      <c r="B2" s="12" t="s">
        <v>77</v>
      </c>
      <c r="C2" s="12" t="s">
        <v>81</v>
      </c>
      <c r="D2" s="12" t="s">
        <v>72</v>
      </c>
      <c r="E2" s="12" t="s">
        <v>71</v>
      </c>
      <c r="F2" s="12" t="s">
        <v>73</v>
      </c>
      <c r="G2" s="12" t="s">
        <v>74</v>
      </c>
      <c r="H2" s="12" t="s">
        <v>76</v>
      </c>
      <c r="I2" s="12" t="s">
        <v>79</v>
      </c>
      <c r="J2" s="12" t="s">
        <v>80</v>
      </c>
      <c r="K2" s="12" t="s">
        <v>86</v>
      </c>
    </row>
    <row r="3" spans="1:12" ht="16.5" thickTop="1" thickBot="1" x14ac:dyDescent="0.3">
      <c r="A3" s="2">
        <v>11600</v>
      </c>
      <c r="B3" s="3">
        <f>1/A3</f>
        <v>8.6206896551724131E-5</v>
      </c>
      <c r="C3" s="3">
        <f>B3*0.99</f>
        <v>8.5344827586206895E-5</v>
      </c>
      <c r="D3" s="2">
        <f>37*10^(-9)</f>
        <v>3.7E-8</v>
      </c>
      <c r="E3" s="2">
        <f>95*10^(-9)</f>
        <v>9.5000000000000004E-8</v>
      </c>
      <c r="F3" s="2">
        <v>130</v>
      </c>
      <c r="G3" s="2">
        <v>10</v>
      </c>
      <c r="H3" s="3">
        <f>G3*I3</f>
        <v>3.5</v>
      </c>
      <c r="I3" s="2">
        <v>0.35</v>
      </c>
      <c r="J3" s="2">
        <v>1</v>
      </c>
      <c r="K3" s="13">
        <v>25</v>
      </c>
    </row>
    <row r="4" spans="1:12" ht="15.75" thickTop="1" x14ac:dyDescent="0.25"/>
    <row r="5" spans="1:12" ht="15.75" thickBot="1" x14ac:dyDescent="0.3">
      <c r="A5" s="12" t="s">
        <v>84</v>
      </c>
      <c r="B5" s="12" t="s">
        <v>75</v>
      </c>
      <c r="C5" s="12" t="s">
        <v>85</v>
      </c>
      <c r="D5" s="12" t="s">
        <v>78</v>
      </c>
      <c r="F5" s="12" t="s">
        <v>87</v>
      </c>
      <c r="H5" s="12" t="s">
        <v>88</v>
      </c>
      <c r="I5" s="12" t="s">
        <v>89</v>
      </c>
    </row>
    <row r="6" spans="1:12" ht="16.5" thickTop="1" thickBot="1" x14ac:dyDescent="0.3">
      <c r="A6" s="3">
        <f>0.5*F3*G3*A3*(D3+E3)</f>
        <v>0.99528000000000016</v>
      </c>
      <c r="B6" s="3">
        <f>H3*G3*C3/B3</f>
        <v>34.650000000000006</v>
      </c>
      <c r="C6" s="3">
        <f>B6+A6</f>
        <v>35.645280000000007</v>
      </c>
      <c r="D6" s="3">
        <f>C6*J3+K3</f>
        <v>60.645280000000007</v>
      </c>
      <c r="F6" s="3">
        <f>D6*2</f>
        <v>121.29056000000001</v>
      </c>
      <c r="H6" s="2">
        <v>50</v>
      </c>
      <c r="I6" s="3">
        <f>F6-H6</f>
        <v>71.290560000000013</v>
      </c>
    </row>
    <row r="7" spans="1:12" ht="15.75" thickTop="1" x14ac:dyDescent="0.25">
      <c r="D7" s="11"/>
    </row>
    <row r="9" spans="1:12" x14ac:dyDescent="0.25">
      <c r="D9" s="11"/>
    </row>
    <row r="10" spans="1:12" x14ac:dyDescent="0.25">
      <c r="A10" s="18" t="s">
        <v>82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6"/>
    </row>
    <row r="11" spans="1:12" ht="15.75" thickBot="1" x14ac:dyDescent="0.3">
      <c r="A11" s="12" t="s">
        <v>59</v>
      </c>
      <c r="B11" s="12" t="s">
        <v>77</v>
      </c>
      <c r="C11" s="12" t="s">
        <v>81</v>
      </c>
      <c r="D11" s="12" t="s">
        <v>72</v>
      </c>
      <c r="E11" s="12" t="s">
        <v>71</v>
      </c>
      <c r="F11" s="12" t="s">
        <v>73</v>
      </c>
      <c r="G11" s="12" t="s">
        <v>74</v>
      </c>
      <c r="H11" s="12" t="s">
        <v>76</v>
      </c>
      <c r="I11" s="12" t="s">
        <v>79</v>
      </c>
      <c r="J11" s="12" t="s">
        <v>80</v>
      </c>
      <c r="K11" s="12" t="s">
        <v>86</v>
      </c>
    </row>
    <row r="12" spans="1:12" ht="16.5" thickTop="1" thickBot="1" x14ac:dyDescent="0.3">
      <c r="A12" s="2">
        <v>11600</v>
      </c>
      <c r="B12" s="3">
        <f>1/A12</f>
        <v>8.6206896551724131E-5</v>
      </c>
      <c r="C12" s="3">
        <f>B12*0.99</f>
        <v>8.5344827586206895E-5</v>
      </c>
      <c r="D12" s="2">
        <f>20*10^(-9)</f>
        <v>2E-8</v>
      </c>
      <c r="E12" s="2">
        <f>52*10^(-9)</f>
        <v>5.2000000000000002E-8</v>
      </c>
      <c r="F12" s="2">
        <v>130</v>
      </c>
      <c r="G12" s="2">
        <v>3</v>
      </c>
      <c r="H12" s="3">
        <f>G12*I12</f>
        <v>3</v>
      </c>
      <c r="I12" s="2">
        <v>1</v>
      </c>
      <c r="J12" s="2">
        <v>1</v>
      </c>
      <c r="K12" s="13">
        <v>25</v>
      </c>
    </row>
    <row r="13" spans="1:12" ht="15.75" thickTop="1" x14ac:dyDescent="0.25"/>
    <row r="14" spans="1:12" ht="15.75" thickBot="1" x14ac:dyDescent="0.3">
      <c r="A14" s="12" t="s">
        <v>84</v>
      </c>
      <c r="B14" s="12" t="s">
        <v>75</v>
      </c>
      <c r="C14" s="12" t="s">
        <v>85</v>
      </c>
      <c r="D14" s="12" t="s">
        <v>78</v>
      </c>
      <c r="F14" s="12" t="s">
        <v>87</v>
      </c>
      <c r="H14" s="12" t="s">
        <v>88</v>
      </c>
      <c r="I14" s="12" t="s">
        <v>89</v>
      </c>
    </row>
    <row r="15" spans="1:12" ht="16.5" thickTop="1" thickBot="1" x14ac:dyDescent="0.3">
      <c r="A15" s="3">
        <f>0.5*F12*G12*A12*(D12+E12)</f>
        <v>0.16286400000000001</v>
      </c>
      <c r="B15" s="3">
        <f>H12*G12*C12/B12</f>
        <v>8.91</v>
      </c>
      <c r="C15" s="3">
        <f>A15+B15</f>
        <v>9.0728640000000009</v>
      </c>
      <c r="D15" s="3">
        <f>J12*C15+K12</f>
        <v>34.072864000000003</v>
      </c>
      <c r="F15" s="3">
        <f>D15*2</f>
        <v>68.145728000000005</v>
      </c>
      <c r="H15" s="2">
        <v>50</v>
      </c>
      <c r="I15" s="3">
        <f>F15-H15</f>
        <v>18.145728000000005</v>
      </c>
    </row>
    <row r="16" spans="1:12" ht="15.75" thickTop="1" x14ac:dyDescent="0.25"/>
  </sheetData>
  <mergeCells count="2">
    <mergeCell ref="A10:K10"/>
    <mergeCell ref="A1:K1"/>
  </mergeCells>
  <pageMargins left="0.7" right="0.7" top="0.75" bottom="0.75" header="0.3" footer="0.3"/>
  <pageSetup paperSize="9" scale="7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147E-622D-4116-8BA0-089E666DA50C}">
  <dimension ref="B1:O12"/>
  <sheetViews>
    <sheetView zoomScale="160" zoomScaleNormal="160" workbookViewId="0">
      <selection activeCell="N11" sqref="N11"/>
    </sheetView>
  </sheetViews>
  <sheetFormatPr defaultRowHeight="15" x14ac:dyDescent="0.25"/>
  <cols>
    <col min="12" max="12" width="12.140625" bestFit="1" customWidth="1"/>
    <col min="14" max="14" width="12.42578125" bestFit="1" customWidth="1"/>
  </cols>
  <sheetData>
    <row r="1" spans="2:15" x14ac:dyDescent="0.25">
      <c r="C1" t="s">
        <v>91</v>
      </c>
      <c r="D1" t="s">
        <v>92</v>
      </c>
      <c r="E1" t="s">
        <v>93</v>
      </c>
      <c r="J1" t="s">
        <v>92</v>
      </c>
      <c r="K1" t="s">
        <v>100</v>
      </c>
      <c r="L1" t="s">
        <v>35</v>
      </c>
      <c r="N1" t="s">
        <v>91</v>
      </c>
      <c r="O1" t="s">
        <v>94</v>
      </c>
    </row>
    <row r="2" spans="2:15" x14ac:dyDescent="0.25">
      <c r="B2" t="s">
        <v>90</v>
      </c>
      <c r="C2">
        <v>3.7874999999999999E-2</v>
      </c>
      <c r="D2">
        <v>191</v>
      </c>
      <c r="E2">
        <f>D2*C2</f>
        <v>7.2341249999999997</v>
      </c>
      <c r="J2">
        <v>460</v>
      </c>
      <c r="K2">
        <f>3.3*J2/4095</f>
        <v>0.37069597069597071</v>
      </c>
      <c r="L2">
        <f>0.021276</f>
        <v>2.1276E-2</v>
      </c>
      <c r="O2">
        <f>K2/L2</f>
        <v>17.423198472267845</v>
      </c>
    </row>
    <row r="3" spans="2:15" x14ac:dyDescent="0.25">
      <c r="O3" t="e">
        <f>0.034/N2</f>
        <v>#DIV/0!</v>
      </c>
    </row>
    <row r="5" spans="2:15" x14ac:dyDescent="0.25">
      <c r="J5" t="s">
        <v>95</v>
      </c>
      <c r="M5" t="s">
        <v>96</v>
      </c>
    </row>
    <row r="6" spans="2:15" x14ac:dyDescent="0.25">
      <c r="I6">
        <v>35.4</v>
      </c>
      <c r="J6">
        <v>400</v>
      </c>
      <c r="K6">
        <f>J6*3.3/4095*I6</f>
        <v>11.410989010989011</v>
      </c>
      <c r="M6" t="s">
        <v>97</v>
      </c>
      <c r="N6" t="s">
        <v>98</v>
      </c>
      <c r="O6" t="s">
        <v>99</v>
      </c>
    </row>
    <row r="7" spans="2:15" x14ac:dyDescent="0.25">
      <c r="M7">
        <v>0.373</v>
      </c>
      <c r="N7">
        <v>2.1276E-2</v>
      </c>
      <c r="O7">
        <f>M7/N7</f>
        <v>17.531490881744688</v>
      </c>
    </row>
    <row r="9" spans="2:15" x14ac:dyDescent="0.25">
      <c r="B9" t="s">
        <v>101</v>
      </c>
      <c r="I9" t="s">
        <v>104</v>
      </c>
      <c r="J9" t="s">
        <v>92</v>
      </c>
      <c r="K9" t="s">
        <v>103</v>
      </c>
      <c r="L9" t="s">
        <v>100</v>
      </c>
      <c r="M9" t="s">
        <v>105</v>
      </c>
      <c r="N9" t="s">
        <v>106</v>
      </c>
      <c r="O9" t="s">
        <v>102</v>
      </c>
    </row>
    <row r="10" spans="2:15" x14ac:dyDescent="0.25">
      <c r="J10">
        <v>150</v>
      </c>
      <c r="K10">
        <f>3.3/4095</f>
        <v>8.0586080586080586E-4</v>
      </c>
      <c r="L10">
        <f>K10*J10</f>
        <v>0.12087912087912088</v>
      </c>
      <c r="M10">
        <v>6.8292679999999999</v>
      </c>
      <c r="N10">
        <f>L10/M10</f>
        <v>1.7700157744449461E-2</v>
      </c>
      <c r="O10">
        <f>N10/0.05</f>
        <v>0.3540031548889892</v>
      </c>
    </row>
    <row r="11" spans="2:15" x14ac:dyDescent="0.25">
      <c r="N11">
        <f>O10/M10</f>
        <v>5.18361784731525E-2</v>
      </c>
    </row>
    <row r="12" spans="2:15" x14ac:dyDescent="0.25">
      <c r="L12" s="14">
        <f>O10/J10</f>
        <v>2.3600210325932613E-3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Tests ampli jauge contrainte</vt:lpstr>
      <vt:lpstr>MosfetDissipation</vt:lpstr>
      <vt:lpstr>ConversionRAW_UNIT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Bultot</dc:creator>
  <cp:lastModifiedBy>Geoffrey Bultot</cp:lastModifiedBy>
  <cp:lastPrinted>2020-06-02T21:54:39Z</cp:lastPrinted>
  <dcterms:created xsi:type="dcterms:W3CDTF">2020-02-11T21:45:40Z</dcterms:created>
  <dcterms:modified xsi:type="dcterms:W3CDTF">2020-06-04T20:25:57Z</dcterms:modified>
</cp:coreProperties>
</file>