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workbookProtection workbookAlgorithmName="SHA-512" workbookHashValue="Qp2RY8gg4D0AnKMPHHi9sRYgcvgyt8UajITadANOxCFLuutfrqQ9XcNmvnH0BW9mB3mz6XsdUpQuLrDXI4r9Bw==" workbookSaltValue="cMubPXPKaMYy0lTvKKFuoA==" workbookSpinCount="100000" lockStructure="1"/>
  <bookViews>
    <workbookView xWindow="-120" yWindow="-120" windowWidth="29040" windowHeight="15840"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5" i="31" l="1"/>
  <c r="P15" i="31"/>
  <c r="Q15" i="31" s="1"/>
  <c r="S15" i="31"/>
  <c r="J16" i="31"/>
  <c r="P16" i="31"/>
  <c r="Q16" i="31" s="1"/>
  <c r="S16" i="31"/>
  <c r="J17" i="31"/>
  <c r="P17" i="31"/>
  <c r="Q17" i="31" s="1"/>
  <c r="S17" i="31"/>
  <c r="J18" i="31"/>
  <c r="P18" i="31"/>
  <c r="Q18" i="31" s="1"/>
  <c r="S18" i="31"/>
  <c r="J19" i="31"/>
  <c r="P19" i="31"/>
  <c r="Q19" i="31" s="1"/>
  <c r="S19" i="31"/>
  <c r="J20" i="31"/>
  <c r="P20" i="31"/>
  <c r="Q20" i="31" s="1"/>
  <c r="S20" i="31"/>
  <c r="J21" i="31"/>
  <c r="P21" i="31"/>
  <c r="Q21" i="31" s="1"/>
  <c r="S21" i="31"/>
  <c r="J22" i="31"/>
  <c r="P22" i="31"/>
  <c r="Q22" i="31" s="1"/>
  <c r="S22" i="31"/>
  <c r="J23" i="31"/>
  <c r="P23" i="31"/>
  <c r="Q23" i="31" s="1"/>
  <c r="S23" i="31"/>
  <c r="J24" i="31"/>
  <c r="P24" i="31"/>
  <c r="Q24" i="31" s="1"/>
  <c r="S24" i="31"/>
  <c r="J25" i="31"/>
  <c r="P25" i="31"/>
  <c r="Q25" i="31" s="1"/>
  <c r="S25" i="31"/>
  <c r="J26" i="31"/>
  <c r="P26" i="31"/>
  <c r="Q26" i="31" s="1"/>
  <c r="S26" i="31"/>
  <c r="J27" i="31"/>
  <c r="P27" i="31"/>
  <c r="Q27" i="31" s="1"/>
  <c r="S27" i="31"/>
  <c r="J28" i="31"/>
  <c r="P28" i="31"/>
  <c r="Q28" i="31" s="1"/>
  <c r="S28" i="31"/>
  <c r="J29" i="31"/>
  <c r="P29" i="31"/>
  <c r="Q29" i="31" s="1"/>
  <c r="S29" i="31"/>
  <c r="J30" i="31"/>
  <c r="P30" i="31"/>
  <c r="Q30" i="31" s="1"/>
  <c r="S30" i="31"/>
  <c r="J31" i="31"/>
  <c r="P31" i="31"/>
  <c r="Q31" i="31" s="1"/>
  <c r="S31" i="31"/>
  <c r="J32" i="31"/>
  <c r="P32" i="31"/>
  <c r="Q32" i="31" s="1"/>
  <c r="S32" i="31"/>
  <c r="J33" i="31"/>
  <c r="P33" i="31"/>
  <c r="Q33" i="31" s="1"/>
  <c r="S33" i="31"/>
  <c r="J34" i="31"/>
  <c r="P34" i="31"/>
  <c r="Q34" i="31" s="1"/>
  <c r="S34" i="31"/>
  <c r="J35" i="31"/>
  <c r="P35" i="31"/>
  <c r="Q35" i="31" s="1"/>
  <c r="S35" i="31"/>
  <c r="J36" i="31"/>
  <c r="P36" i="31"/>
  <c r="Q36" i="31" s="1"/>
  <c r="S36" i="31"/>
  <c r="J37" i="31"/>
  <c r="P37" i="31"/>
  <c r="Q37" i="31" s="1"/>
  <c r="S37" i="31"/>
  <c r="J38" i="31"/>
  <c r="P38" i="31"/>
  <c r="Q38" i="31" s="1"/>
  <c r="S38" i="31"/>
  <c r="J39" i="31"/>
  <c r="P39" i="31"/>
  <c r="Q39" i="31" s="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P47" i="31"/>
  <c r="Q47" i="31" s="1"/>
  <c r="S47" i="31"/>
  <c r="J48" i="31"/>
  <c r="P48" i="31"/>
  <c r="Q48" i="31" s="1"/>
  <c r="S48" i="31"/>
  <c r="J49" i="31"/>
  <c r="P49" i="31"/>
  <c r="Q49" i="31" s="1"/>
  <c r="S49" i="31"/>
  <c r="J50" i="31"/>
  <c r="P50" i="31"/>
  <c r="Q50" i="31" s="1"/>
  <c r="S50" i="31"/>
  <c r="J51" i="31"/>
  <c r="P51" i="31"/>
  <c r="Q51" i="31" s="1"/>
  <c r="S51" i="31"/>
  <c r="J52" i="31"/>
  <c r="P52" i="31"/>
  <c r="Q52" i="31" s="1"/>
  <c r="S52" i="31"/>
  <c r="J53" i="31"/>
  <c r="P53" i="31"/>
  <c r="Q53" i="31" s="1"/>
  <c r="S53" i="31"/>
  <c r="J54" i="31"/>
  <c r="P54" i="31"/>
  <c r="Q54" i="31" s="1"/>
  <c r="S54" i="31"/>
  <c r="J55" i="31"/>
  <c r="P55" i="31"/>
  <c r="Q55" i="31" s="1"/>
  <c r="S55" i="31"/>
  <c r="J56" i="31"/>
  <c r="P56" i="31"/>
  <c r="Q56" i="31" s="1"/>
  <c r="S56" i="31"/>
  <c r="J57" i="31"/>
  <c r="P57" i="31"/>
  <c r="Q57" i="31" s="1"/>
  <c r="S57" i="31"/>
  <c r="J58" i="31"/>
  <c r="P58" i="31"/>
  <c r="Q58" i="31" s="1"/>
  <c r="S58" i="31"/>
  <c r="J59" i="31"/>
  <c r="P59" i="31"/>
  <c r="Q59" i="31" s="1"/>
  <c r="S59" i="31"/>
  <c r="J60" i="31"/>
  <c r="P60" i="31"/>
  <c r="Q60" i="31" s="1"/>
  <c r="S60" i="31"/>
  <c r="J61" i="31"/>
  <c r="P61" i="31"/>
  <c r="Q61" i="31" s="1"/>
  <c r="S61" i="31"/>
  <c r="J62" i="31"/>
  <c r="P62" i="31"/>
  <c r="Q62" i="31" s="1"/>
  <c r="S62" i="31"/>
  <c r="J63" i="31"/>
  <c r="P63" i="31"/>
  <c r="Q63" i="31" s="1"/>
  <c r="S63" i="31"/>
  <c r="J64" i="31"/>
  <c r="P64" i="31"/>
  <c r="Q64" i="31" s="1"/>
  <c r="S64" i="31"/>
  <c r="J65" i="31"/>
  <c r="P65" i="31"/>
  <c r="Q65" i="31" s="1"/>
  <c r="S65" i="31"/>
  <c r="J66" i="31"/>
  <c r="P66" i="31"/>
  <c r="Q66" i="31"/>
  <c r="S66" i="31"/>
  <c r="J67" i="31"/>
  <c r="P67" i="31"/>
  <c r="Q67" i="31" s="1"/>
  <c r="S67" i="31"/>
  <c r="J68" i="31"/>
  <c r="P68" i="31"/>
  <c r="Q68" i="31" s="1"/>
  <c r="S68" i="31"/>
  <c r="J69" i="31"/>
  <c r="P69" i="31"/>
  <c r="Q69" i="31"/>
  <c r="S69" i="31"/>
  <c r="J70" i="31"/>
  <c r="P70" i="31"/>
  <c r="Q70" i="31" s="1"/>
  <c r="S70" i="31"/>
  <c r="J71" i="31"/>
  <c r="P71" i="31"/>
  <c r="Q71" i="31" s="1"/>
  <c r="S71" i="31"/>
  <c r="J72" i="31"/>
  <c r="P72" i="31"/>
  <c r="Q72" i="31"/>
  <c r="S72" i="31"/>
  <c r="J73" i="31"/>
  <c r="P73" i="31"/>
  <c r="Q73" i="31" s="1"/>
  <c r="S73" i="31"/>
  <c r="J74" i="31"/>
  <c r="P74" i="31"/>
  <c r="Q74" i="31" s="1"/>
  <c r="S74" i="31"/>
  <c r="J75" i="31"/>
  <c r="P75" i="31"/>
  <c r="Q75" i="31"/>
  <c r="S75" i="31"/>
  <c r="J76" i="31"/>
  <c r="P76" i="31"/>
  <c r="Q76" i="31" s="1"/>
  <c r="S76" i="31"/>
  <c r="J77" i="31"/>
  <c r="P77" i="31"/>
  <c r="Q77" i="31" s="1"/>
  <c r="S77" i="31"/>
  <c r="J78" i="31"/>
  <c r="P78" i="31"/>
  <c r="Q78" i="31"/>
  <c r="S78" i="31"/>
  <c r="J79" i="31"/>
  <c r="P79" i="31"/>
  <c r="Q79" i="31" s="1"/>
  <c r="S79" i="31"/>
  <c r="J80" i="31"/>
  <c r="P80" i="31"/>
  <c r="Q80" i="31" s="1"/>
  <c r="S80" i="31"/>
  <c r="J81" i="31"/>
  <c r="P81" i="31"/>
  <c r="Q81" i="31"/>
  <c r="S81" i="31"/>
  <c r="J82" i="31"/>
  <c r="P82" i="31"/>
  <c r="Q82" i="31" s="1"/>
  <c r="S82" i="31"/>
  <c r="J83" i="31"/>
  <c r="P83" i="31"/>
  <c r="Q83" i="31" s="1"/>
  <c r="S83" i="31"/>
  <c r="J84" i="31"/>
  <c r="P84" i="31"/>
  <c r="Q84" i="31"/>
  <c r="S84" i="31"/>
  <c r="J85" i="31"/>
  <c r="P85" i="31"/>
  <c r="Q85" i="31" s="1"/>
  <c r="S85" i="31"/>
  <c r="J86" i="31"/>
  <c r="P86" i="31"/>
  <c r="Q86" i="31" s="1"/>
  <c r="S86" i="31"/>
  <c r="J87" i="31"/>
  <c r="P87" i="31"/>
  <c r="Q87" i="31"/>
  <c r="S87" i="31"/>
  <c r="J88" i="31"/>
  <c r="P88" i="31"/>
  <c r="Q88" i="31" s="1"/>
  <c r="S88" i="31"/>
  <c r="J89" i="31"/>
  <c r="P89" i="31"/>
  <c r="Q89" i="31" s="1"/>
  <c r="S89" i="31"/>
  <c r="J90" i="31"/>
  <c r="P90" i="31"/>
  <c r="Q90" i="31"/>
  <c r="S90" i="31"/>
  <c r="J91" i="31"/>
  <c r="P91" i="31"/>
  <c r="Q91" i="31" s="1"/>
  <c r="S91" i="31"/>
  <c r="J92" i="31"/>
  <c r="P92" i="31"/>
  <c r="Q92" i="31" s="1"/>
  <c r="S92" i="31"/>
  <c r="J93" i="31"/>
  <c r="P93" i="31"/>
  <c r="Q93" i="31"/>
  <c r="S93"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L22" i="31" s="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L28" i="31" s="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K34" i="31" s="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K46" i="31" s="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I50" i="31" s="1"/>
  <c r="A51" i="31"/>
  <c r="B51" i="31"/>
  <c r="C51" i="31"/>
  <c r="D51" i="31"/>
  <c r="E51" i="31"/>
  <c r="F51" i="31"/>
  <c r="G51" i="31"/>
  <c r="A52" i="31"/>
  <c r="B52" i="31"/>
  <c r="C52" i="31"/>
  <c r="D52" i="31"/>
  <c r="E52" i="31"/>
  <c r="F52" i="31"/>
  <c r="G52" i="31"/>
  <c r="A53" i="31"/>
  <c r="B53" i="31"/>
  <c r="C53" i="31"/>
  <c r="D53" i="31"/>
  <c r="E53" i="31"/>
  <c r="K53" i="31" s="1"/>
  <c r="F53" i="31"/>
  <c r="G53" i="31"/>
  <c r="I53" i="31" s="1"/>
  <c r="A54" i="31"/>
  <c r="B54" i="31"/>
  <c r="C54" i="31"/>
  <c r="D54" i="31"/>
  <c r="E54" i="31"/>
  <c r="F54" i="31"/>
  <c r="G54" i="31"/>
  <c r="A55" i="31"/>
  <c r="B55" i="31"/>
  <c r="C55" i="31"/>
  <c r="D55" i="31"/>
  <c r="E55" i="31"/>
  <c r="F55" i="31"/>
  <c r="G55" i="31"/>
  <c r="A56" i="31"/>
  <c r="B56" i="31"/>
  <c r="C56" i="31"/>
  <c r="D56" i="31"/>
  <c r="E56" i="31"/>
  <c r="F56" i="31"/>
  <c r="G56" i="31"/>
  <c r="I56" i="31" s="1"/>
  <c r="A57" i="31"/>
  <c r="B57" i="31"/>
  <c r="C57" i="31"/>
  <c r="D57" i="31"/>
  <c r="E57" i="31"/>
  <c r="K57" i="31" s="1"/>
  <c r="F57" i="31"/>
  <c r="G57" i="31"/>
  <c r="A58" i="31"/>
  <c r="B58" i="31"/>
  <c r="C58" i="31"/>
  <c r="D58" i="31"/>
  <c r="E58" i="31"/>
  <c r="F58" i="31"/>
  <c r="G58" i="31"/>
  <c r="A59" i="31"/>
  <c r="B59" i="31"/>
  <c r="C59" i="31"/>
  <c r="D59" i="31"/>
  <c r="E59" i="31"/>
  <c r="F59" i="31"/>
  <c r="G59" i="31"/>
  <c r="I59" i="31" s="1"/>
  <c r="A60" i="31"/>
  <c r="B60" i="31"/>
  <c r="C60" i="31"/>
  <c r="D60" i="31"/>
  <c r="E60" i="31"/>
  <c r="F60" i="31"/>
  <c r="G60" i="31"/>
  <c r="A61" i="31"/>
  <c r="B61" i="31"/>
  <c r="C61" i="31"/>
  <c r="D61" i="31"/>
  <c r="K61" i="31" s="1"/>
  <c r="E61" i="31"/>
  <c r="F61" i="31"/>
  <c r="G61" i="31"/>
  <c r="A62" i="31"/>
  <c r="B62" i="31"/>
  <c r="C62" i="31"/>
  <c r="D62" i="31"/>
  <c r="E62" i="31"/>
  <c r="F62" i="31"/>
  <c r="G62" i="31"/>
  <c r="I62" i="31" s="1"/>
  <c r="A63" i="31"/>
  <c r="B63" i="31"/>
  <c r="C63" i="31"/>
  <c r="D63" i="31"/>
  <c r="E63" i="31"/>
  <c r="F63" i="31"/>
  <c r="G63" i="31"/>
  <c r="A64" i="31"/>
  <c r="B64" i="31"/>
  <c r="C64" i="31"/>
  <c r="D64" i="31"/>
  <c r="E64" i="31"/>
  <c r="F64" i="31"/>
  <c r="G64" i="31"/>
  <c r="A65" i="31"/>
  <c r="B65" i="31"/>
  <c r="C65" i="31"/>
  <c r="D65" i="31"/>
  <c r="E65" i="31"/>
  <c r="M65" i="31" s="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F90" i="31"/>
  <c r="G90" i="31"/>
  <c r="A91" i="31"/>
  <c r="B91" i="31"/>
  <c r="C91" i="31"/>
  <c r="D91" i="31"/>
  <c r="E91" i="31"/>
  <c r="F91" i="31"/>
  <c r="G91" i="31"/>
  <c r="A92" i="31"/>
  <c r="B92" i="31"/>
  <c r="C92" i="31"/>
  <c r="D92" i="31"/>
  <c r="E92" i="31"/>
  <c r="F92" i="31"/>
  <c r="G92" i="31"/>
  <c r="A93" i="31"/>
  <c r="B93" i="31"/>
  <c r="C93" i="31"/>
  <c r="D93" i="31"/>
  <c r="E93" i="31"/>
  <c r="F93" i="31"/>
  <c r="G93" i="31"/>
  <c r="N52" i="31" l="1"/>
  <c r="O52" i="31" s="1"/>
  <c r="R52" i="31" s="1"/>
  <c r="N83" i="31"/>
  <c r="O83" i="31" s="1"/>
  <c r="R83" i="31" s="1"/>
  <c r="V83" i="31" s="1"/>
  <c r="M47" i="31"/>
  <c r="K47" i="31"/>
  <c r="N47" i="31" s="1"/>
  <c r="O47" i="31" s="1"/>
  <c r="R47" i="31" s="1"/>
  <c r="V47" i="31" s="1"/>
  <c r="K88" i="31"/>
  <c r="L88" i="31"/>
  <c r="M88" i="31"/>
  <c r="I86" i="31"/>
  <c r="K76" i="31"/>
  <c r="L76" i="31"/>
  <c r="N76" i="31" s="1"/>
  <c r="O76" i="31" s="1"/>
  <c r="R76" i="31" s="1"/>
  <c r="V76" i="31" s="1"/>
  <c r="M76" i="31"/>
  <c r="I74" i="31"/>
  <c r="M64" i="31"/>
  <c r="K64" i="31"/>
  <c r="L64" i="31"/>
  <c r="L52" i="31"/>
  <c r="I88" i="31"/>
  <c r="I76" i="31"/>
  <c r="K71" i="31"/>
  <c r="N71" i="31" s="1"/>
  <c r="O71" i="31" s="1"/>
  <c r="R71" i="31" s="1"/>
  <c r="V71" i="31" s="1"/>
  <c r="L71" i="31"/>
  <c r="M71" i="31"/>
  <c r="I57" i="31"/>
  <c r="I91" i="31"/>
  <c r="I79" i="31"/>
  <c r="I67" i="31"/>
  <c r="L45" i="31"/>
  <c r="M45" i="31"/>
  <c r="K45" i="31"/>
  <c r="I43" i="31"/>
  <c r="K33" i="31"/>
  <c r="L33" i="31"/>
  <c r="M33" i="31"/>
  <c r="I31" i="31"/>
  <c r="L47" i="31"/>
  <c r="N66" i="31"/>
  <c r="O66" i="31" s="1"/>
  <c r="R66" i="31" s="1"/>
  <c r="V66" i="31" s="1"/>
  <c r="I55" i="31"/>
  <c r="K86" i="31"/>
  <c r="L86" i="31"/>
  <c r="M86" i="31"/>
  <c r="N86" i="31" s="1"/>
  <c r="O86" i="31" s="1"/>
  <c r="R86" i="31" s="1"/>
  <c r="V86" i="31" s="1"/>
  <c r="K74" i="31"/>
  <c r="N74" i="31" s="1"/>
  <c r="O74" i="31" s="1"/>
  <c r="R74" i="31" s="1"/>
  <c r="V74" i="31" s="1"/>
  <c r="L74" i="31"/>
  <c r="M74" i="31"/>
  <c r="I72" i="31"/>
  <c r="K62" i="31"/>
  <c r="L62" i="31"/>
  <c r="M62" i="31"/>
  <c r="I60" i="31"/>
  <c r="M50" i="31"/>
  <c r="K50" i="31"/>
  <c r="L50" i="31"/>
  <c r="I48" i="31"/>
  <c r="K38" i="31"/>
  <c r="L38" i="31"/>
  <c r="M38" i="31"/>
  <c r="I36" i="31"/>
  <c r="I81" i="31"/>
  <c r="N78" i="31"/>
  <c r="O78" i="31" s="1"/>
  <c r="R78" i="31" s="1"/>
  <c r="K69" i="31"/>
  <c r="L69" i="31"/>
  <c r="M69" i="31"/>
  <c r="M57" i="31"/>
  <c r="L57" i="31"/>
  <c r="I84" i="31"/>
  <c r="K91" i="31"/>
  <c r="L91" i="31"/>
  <c r="M91" i="31"/>
  <c r="I89" i="31"/>
  <c r="N88" i="31"/>
  <c r="O88" i="31" s="1"/>
  <c r="R88" i="31" s="1"/>
  <c r="V88" i="31" s="1"/>
  <c r="K79" i="31"/>
  <c r="L79" i="31"/>
  <c r="M79" i="31"/>
  <c r="I77" i="31"/>
  <c r="K67" i="31"/>
  <c r="L67" i="31"/>
  <c r="N67" i="31" s="1"/>
  <c r="O67" i="31" s="1"/>
  <c r="R67" i="31" s="1"/>
  <c r="V67" i="31" s="1"/>
  <c r="M67" i="31"/>
  <c r="I65" i="31"/>
  <c r="N64" i="31"/>
  <c r="O64" i="31" s="1"/>
  <c r="R64" i="31" s="1"/>
  <c r="I93" i="31"/>
  <c r="N69" i="31"/>
  <c r="O69" i="31" s="1"/>
  <c r="R69" i="31" s="1"/>
  <c r="M60" i="31"/>
  <c r="N60" i="31" s="1"/>
  <c r="O60" i="31" s="1"/>
  <c r="R60" i="31" s="1"/>
  <c r="V60" i="31" s="1"/>
  <c r="K60" i="31"/>
  <c r="L60" i="31"/>
  <c r="I58" i="31"/>
  <c r="N57" i="31"/>
  <c r="O57" i="31" s="1"/>
  <c r="R57" i="31" s="1"/>
  <c r="V57" i="31" s="1"/>
  <c r="L48" i="31"/>
  <c r="M48" i="31"/>
  <c r="K48" i="31"/>
  <c r="N48" i="31" s="1"/>
  <c r="O48" i="31" s="1"/>
  <c r="R48" i="31" s="1"/>
  <c r="V48" i="31" s="1"/>
  <c r="I46" i="31"/>
  <c r="N45" i="31"/>
  <c r="O45" i="31" s="1"/>
  <c r="R45" i="31" s="1"/>
  <c r="K36" i="31"/>
  <c r="L36" i="31"/>
  <c r="M36" i="31"/>
  <c r="I34" i="31"/>
  <c r="K90" i="31"/>
  <c r="L90" i="31"/>
  <c r="N90" i="31" s="1"/>
  <c r="O90" i="31" s="1"/>
  <c r="R90" i="31" s="1"/>
  <c r="V90" i="31" s="1"/>
  <c r="M90" i="31"/>
  <c r="K78" i="31"/>
  <c r="L78" i="31"/>
  <c r="M78" i="31"/>
  <c r="K89" i="31"/>
  <c r="L89" i="31"/>
  <c r="N89" i="31" s="1"/>
  <c r="O89" i="31" s="1"/>
  <c r="R89" i="31" s="1"/>
  <c r="V89" i="31" s="1"/>
  <c r="M89" i="31"/>
  <c r="I75" i="31"/>
  <c r="K65" i="31"/>
  <c r="L65" i="31"/>
  <c r="I63" i="31"/>
  <c r="N62" i="31"/>
  <c r="O62" i="31" s="1"/>
  <c r="R62" i="31" s="1"/>
  <c r="U62" i="31" s="1"/>
  <c r="X62" i="31" s="1"/>
  <c r="M53" i="31"/>
  <c r="L53" i="31"/>
  <c r="I51" i="31"/>
  <c r="N50" i="31"/>
  <c r="O50" i="31" s="1"/>
  <c r="R50" i="31" s="1"/>
  <c r="L41" i="31"/>
  <c r="N41" i="31" s="1"/>
  <c r="O41" i="31" s="1"/>
  <c r="R41" i="31" s="1"/>
  <c r="V41" i="31" s="1"/>
  <c r="M41" i="31"/>
  <c r="K41" i="31"/>
  <c r="I39" i="31"/>
  <c r="N38" i="31"/>
  <c r="O38" i="31" s="1"/>
  <c r="R38" i="31" s="1"/>
  <c r="K29" i="31"/>
  <c r="L29" i="31"/>
  <c r="M29" i="31"/>
  <c r="I27" i="31"/>
  <c r="N93" i="31"/>
  <c r="O93" i="31" s="1"/>
  <c r="R93" i="31" s="1"/>
  <c r="V93" i="31" s="1"/>
  <c r="I82" i="31"/>
  <c r="I87" i="31"/>
  <c r="K77" i="31"/>
  <c r="L77" i="31"/>
  <c r="M77" i="31"/>
  <c r="N77" i="31" s="1"/>
  <c r="O77" i="31" s="1"/>
  <c r="R77" i="31" s="1"/>
  <c r="V77" i="31" s="1"/>
  <c r="I92" i="31"/>
  <c r="N91" i="31"/>
  <c r="O91" i="31" s="1"/>
  <c r="R91" i="31" s="1"/>
  <c r="V91" i="31" s="1"/>
  <c r="K82" i="31"/>
  <c r="L82" i="31"/>
  <c r="M82" i="31"/>
  <c r="I80" i="31"/>
  <c r="N79" i="31"/>
  <c r="O79" i="31" s="1"/>
  <c r="R79" i="31" s="1"/>
  <c r="K70" i="31"/>
  <c r="L70" i="31"/>
  <c r="M70" i="31"/>
  <c r="I68" i="31"/>
  <c r="M58" i="31"/>
  <c r="V79" i="31"/>
  <c r="K93" i="31"/>
  <c r="L93" i="31"/>
  <c r="M93" i="31"/>
  <c r="K81" i="31"/>
  <c r="L81" i="31"/>
  <c r="M81" i="31"/>
  <c r="K84" i="31"/>
  <c r="L84" i="31"/>
  <c r="M84" i="31"/>
  <c r="I70" i="31"/>
  <c r="N72" i="31"/>
  <c r="O72" i="31" s="1"/>
  <c r="R72" i="31" s="1"/>
  <c r="V72" i="31" s="1"/>
  <c r="K63" i="31"/>
  <c r="L63" i="31"/>
  <c r="M63" i="31"/>
  <c r="N63" i="31" s="1"/>
  <c r="O63" i="31" s="1"/>
  <c r="R63" i="31" s="1"/>
  <c r="V63" i="31" s="1"/>
  <c r="I61" i="31"/>
  <c r="L51" i="31"/>
  <c r="N51" i="31" s="1"/>
  <c r="O51" i="31" s="1"/>
  <c r="R51" i="31" s="1"/>
  <c r="V51" i="31" s="1"/>
  <c r="M51" i="31"/>
  <c r="K51" i="31"/>
  <c r="I49" i="31"/>
  <c r="K39" i="31"/>
  <c r="N87" i="31"/>
  <c r="O87" i="31" s="1"/>
  <c r="R87" i="31" s="1"/>
  <c r="V87" i="31" s="1"/>
  <c r="K83" i="31"/>
  <c r="L83" i="31"/>
  <c r="M83" i="31"/>
  <c r="M59" i="31"/>
  <c r="N59" i="31" s="1"/>
  <c r="O59" i="31" s="1"/>
  <c r="R59" i="31" s="1"/>
  <c r="K59" i="31"/>
  <c r="L59" i="31"/>
  <c r="N81" i="31"/>
  <c r="O81" i="31" s="1"/>
  <c r="R81" i="31" s="1"/>
  <c r="V81" i="31" s="1"/>
  <c r="K72" i="31"/>
  <c r="L72" i="31"/>
  <c r="M72" i="31"/>
  <c r="K87" i="31"/>
  <c r="L87" i="31"/>
  <c r="M87" i="31"/>
  <c r="I85" i="31"/>
  <c r="K75" i="31"/>
  <c r="L75" i="31"/>
  <c r="N75" i="31" s="1"/>
  <c r="O75" i="31" s="1"/>
  <c r="R75" i="31" s="1"/>
  <c r="V75" i="31" s="1"/>
  <c r="M75" i="31"/>
  <c r="K80" i="31"/>
  <c r="L80" i="31"/>
  <c r="M80" i="31"/>
  <c r="N80" i="31" s="1"/>
  <c r="O80" i="31" s="1"/>
  <c r="R80" i="31" s="1"/>
  <c r="V80" i="31" s="1"/>
  <c r="I78" i="31"/>
  <c r="V78" i="31"/>
  <c r="K68" i="31"/>
  <c r="L68" i="31"/>
  <c r="N68" i="31" s="1"/>
  <c r="O68" i="31" s="1"/>
  <c r="R68" i="31" s="1"/>
  <c r="V68" i="31" s="1"/>
  <c r="M68" i="31"/>
  <c r="I66" i="31"/>
  <c r="N65" i="31"/>
  <c r="O65" i="31" s="1"/>
  <c r="R65" i="31" s="1"/>
  <c r="V65" i="31" s="1"/>
  <c r="M56" i="31"/>
  <c r="N56" i="31" s="1"/>
  <c r="O56" i="31" s="1"/>
  <c r="R56" i="31" s="1"/>
  <c r="K56" i="31"/>
  <c r="L56" i="31"/>
  <c r="I54" i="31"/>
  <c r="N53" i="31"/>
  <c r="O53" i="31" s="1"/>
  <c r="R53" i="31" s="1"/>
  <c r="V53" i="31" s="1"/>
  <c r="L44" i="31"/>
  <c r="N44" i="31" s="1"/>
  <c r="O44" i="31" s="1"/>
  <c r="R44" i="31" s="1"/>
  <c r="V44" i="31" s="1"/>
  <c r="M44" i="31"/>
  <c r="K44" i="31"/>
  <c r="I42" i="31"/>
  <c r="K32" i="31"/>
  <c r="L32" i="31"/>
  <c r="M32" i="31"/>
  <c r="I30" i="31"/>
  <c r="I69" i="31"/>
  <c r="V69" i="31"/>
  <c r="N84" i="31"/>
  <c r="O84" i="31" s="1"/>
  <c r="R84" i="31" s="1"/>
  <c r="V84" i="31" s="1"/>
  <c r="I73" i="31"/>
  <c r="K92" i="31"/>
  <c r="L92" i="31"/>
  <c r="N92" i="31" s="1"/>
  <c r="O92" i="31" s="1"/>
  <c r="R92" i="31" s="1"/>
  <c r="V92" i="31" s="1"/>
  <c r="M92" i="31"/>
  <c r="I90" i="31"/>
  <c r="K85" i="31"/>
  <c r="L85" i="31"/>
  <c r="M85" i="31"/>
  <c r="N85" i="31" s="1"/>
  <c r="O85" i="31" s="1"/>
  <c r="R85" i="31" s="1"/>
  <c r="V85" i="31" s="1"/>
  <c r="I83" i="31"/>
  <c r="N82" i="31"/>
  <c r="O82" i="31" s="1"/>
  <c r="R82" i="31" s="1"/>
  <c r="V82" i="31" s="1"/>
  <c r="K73" i="31"/>
  <c r="N73" i="31" s="1"/>
  <c r="O73" i="31" s="1"/>
  <c r="R73" i="31" s="1"/>
  <c r="V73" i="31" s="1"/>
  <c r="L73" i="31"/>
  <c r="M73" i="31"/>
  <c r="I71" i="31"/>
  <c r="N70" i="31"/>
  <c r="O70" i="31" s="1"/>
  <c r="R70" i="31" s="1"/>
  <c r="V70" i="31" s="1"/>
  <c r="N58" i="31"/>
  <c r="O58" i="31" s="1"/>
  <c r="R58" i="31" s="1"/>
  <c r="V58" i="31" s="1"/>
  <c r="K49" i="31"/>
  <c r="L37" i="31"/>
  <c r="L25" i="31"/>
  <c r="K66" i="31"/>
  <c r="L66" i="31"/>
  <c r="M66" i="31"/>
  <c r="I64" i="31"/>
  <c r="V64" i="31"/>
  <c r="M54" i="31"/>
  <c r="N54" i="31" s="1"/>
  <c r="O54" i="31" s="1"/>
  <c r="R54" i="31" s="1"/>
  <c r="V54" i="31" s="1"/>
  <c r="K54" i="31"/>
  <c r="L54" i="31"/>
  <c r="I52" i="31"/>
  <c r="V52" i="31"/>
  <c r="L42" i="31"/>
  <c r="N42" i="31" s="1"/>
  <c r="O42" i="31" s="1"/>
  <c r="R42" i="31" s="1"/>
  <c r="V42" i="31" s="1"/>
  <c r="M42" i="31"/>
  <c r="K42" i="31"/>
  <c r="I40" i="31"/>
  <c r="K30" i="31"/>
  <c r="L30" i="31"/>
  <c r="M30" i="31"/>
  <c r="I28" i="31"/>
  <c r="K18" i="31"/>
  <c r="L18" i="31"/>
  <c r="N18" i="31" s="1"/>
  <c r="O18" i="31" s="1"/>
  <c r="R18" i="31" s="1"/>
  <c r="V18" i="31" s="1"/>
  <c r="M18" i="31"/>
  <c r="I16" i="31"/>
  <c r="N15" i="31"/>
  <c r="O15" i="31" s="1"/>
  <c r="R15" i="31" s="1"/>
  <c r="V15" i="31" s="1"/>
  <c r="I45" i="31"/>
  <c r="V45" i="31"/>
  <c r="K35" i="31"/>
  <c r="L35" i="31"/>
  <c r="M35" i="31"/>
  <c r="N35" i="31" s="1"/>
  <c r="O35" i="31" s="1"/>
  <c r="R35" i="31" s="1"/>
  <c r="V35" i="31" s="1"/>
  <c r="I33" i="31"/>
  <c r="N32" i="31"/>
  <c r="O32" i="31" s="1"/>
  <c r="R32" i="31" s="1"/>
  <c r="K23" i="31"/>
  <c r="L23" i="31"/>
  <c r="M23" i="31"/>
  <c r="I21" i="31"/>
  <c r="T62" i="31"/>
  <c r="M52" i="31"/>
  <c r="T50" i="31"/>
  <c r="U50" i="31"/>
  <c r="X50" i="31" s="1"/>
  <c r="N49" i="31"/>
  <c r="O49" i="31" s="1"/>
  <c r="R49" i="31" s="1"/>
  <c r="V49" i="31" s="1"/>
  <c r="M40" i="31"/>
  <c r="I38" i="31"/>
  <c r="V38" i="31"/>
  <c r="M28" i="31"/>
  <c r="I26" i="31"/>
  <c r="N25" i="31"/>
  <c r="O25" i="31" s="1"/>
  <c r="R25" i="31" s="1"/>
  <c r="M16" i="31"/>
  <c r="K16" i="31"/>
  <c r="K52" i="31"/>
  <c r="L49" i="31"/>
  <c r="K28" i="31"/>
  <c r="N30" i="31"/>
  <c r="O30" i="31" s="1"/>
  <c r="R30" i="31" s="1"/>
  <c r="V30" i="31" s="1"/>
  <c r="K21" i="31"/>
  <c r="L21" i="31"/>
  <c r="M21" i="31"/>
  <c r="I19" i="31"/>
  <c r="L34" i="31"/>
  <c r="K26" i="31"/>
  <c r="L26" i="31"/>
  <c r="M26" i="31"/>
  <c r="I24" i="31"/>
  <c r="N23" i="31"/>
  <c r="O23" i="31" s="1"/>
  <c r="R23" i="31" s="1"/>
  <c r="V23" i="31" s="1"/>
  <c r="M55" i="31"/>
  <c r="N55" i="31" s="1"/>
  <c r="O55" i="31" s="1"/>
  <c r="R55" i="31" s="1"/>
  <c r="V55" i="31" s="1"/>
  <c r="M43" i="31"/>
  <c r="I41" i="31"/>
  <c r="N40" i="31"/>
  <c r="O40" i="31" s="1"/>
  <c r="R40" i="31" s="1"/>
  <c r="V40" i="31" s="1"/>
  <c r="M31" i="31"/>
  <c r="I29" i="31"/>
  <c r="N28" i="31"/>
  <c r="O28" i="31" s="1"/>
  <c r="R28" i="31" s="1"/>
  <c r="V28" i="31" s="1"/>
  <c r="M19" i="31"/>
  <c r="K19" i="31"/>
  <c r="I17" i="31"/>
  <c r="N16" i="31"/>
  <c r="O16" i="31" s="1"/>
  <c r="R16" i="31" s="1"/>
  <c r="V16" i="31" s="1"/>
  <c r="L55" i="31"/>
  <c r="L43" i="31"/>
  <c r="L19" i="31"/>
  <c r="N33" i="31"/>
  <c r="O33" i="31" s="1"/>
  <c r="R33" i="31" s="1"/>
  <c r="V33" i="31" s="1"/>
  <c r="K24" i="31"/>
  <c r="L24" i="31"/>
  <c r="M24" i="31"/>
  <c r="I22" i="31"/>
  <c r="N21" i="31"/>
  <c r="O21" i="31" s="1"/>
  <c r="R21" i="31" s="1"/>
  <c r="V21" i="31" s="1"/>
  <c r="K55" i="31"/>
  <c r="K43" i="31"/>
  <c r="L16" i="31"/>
  <c r="N26" i="31"/>
  <c r="O26" i="31" s="1"/>
  <c r="R26" i="31" s="1"/>
  <c r="V26" i="31" s="1"/>
  <c r="K17" i="31"/>
  <c r="L17" i="31"/>
  <c r="M17" i="31"/>
  <c r="I15" i="31"/>
  <c r="M46" i="31"/>
  <c r="I44" i="31"/>
  <c r="N43" i="31"/>
  <c r="O43" i="31" s="1"/>
  <c r="R43" i="31" s="1"/>
  <c r="V43" i="31" s="1"/>
  <c r="M34" i="31"/>
  <c r="N34" i="31" s="1"/>
  <c r="O34" i="31" s="1"/>
  <c r="R34" i="31" s="1"/>
  <c r="V34" i="31" s="1"/>
  <c r="I32" i="31"/>
  <c r="V32" i="31"/>
  <c r="N31" i="31"/>
  <c r="O31" i="31" s="1"/>
  <c r="R31" i="31" s="1"/>
  <c r="V31" i="31" s="1"/>
  <c r="M22" i="31"/>
  <c r="K22" i="31"/>
  <c r="N22" i="31" s="1"/>
  <c r="O22" i="31" s="1"/>
  <c r="R22" i="31" s="1"/>
  <c r="V22" i="31" s="1"/>
  <c r="I20" i="31"/>
  <c r="N19" i="31"/>
  <c r="O19" i="31" s="1"/>
  <c r="R19" i="31" s="1"/>
  <c r="V19" i="31" s="1"/>
  <c r="L58" i="31"/>
  <c r="L31" i="31"/>
  <c r="L39" i="31"/>
  <c r="M39" i="31"/>
  <c r="N39" i="31" s="1"/>
  <c r="O39" i="31" s="1"/>
  <c r="R39" i="31" s="1"/>
  <c r="V39" i="31" s="1"/>
  <c r="I37" i="31"/>
  <c r="N36" i="31"/>
  <c r="O36" i="31" s="1"/>
  <c r="R36" i="31" s="1"/>
  <c r="V36" i="31" s="1"/>
  <c r="K27" i="31"/>
  <c r="L27" i="31"/>
  <c r="N27" i="31" s="1"/>
  <c r="O27" i="31" s="1"/>
  <c r="R27" i="31" s="1"/>
  <c r="V27" i="31" s="1"/>
  <c r="M27" i="31"/>
  <c r="I25" i="31"/>
  <c r="V25" i="31"/>
  <c r="N24" i="31"/>
  <c r="O24" i="31" s="1"/>
  <c r="R24" i="31" s="1"/>
  <c r="V24" i="31" s="1"/>
  <c r="K15" i="31"/>
  <c r="L15" i="31"/>
  <c r="M15" i="31"/>
  <c r="K58" i="31"/>
  <c r="W50" i="31"/>
  <c r="K31" i="31"/>
  <c r="N29" i="31"/>
  <c r="O29" i="31" s="1"/>
  <c r="R29" i="31" s="1"/>
  <c r="V29" i="31" s="1"/>
  <c r="K20" i="31"/>
  <c r="L20" i="31"/>
  <c r="N20" i="31" s="1"/>
  <c r="O20" i="31" s="1"/>
  <c r="R20" i="31" s="1"/>
  <c r="V20" i="31" s="1"/>
  <c r="M20" i="31"/>
  <c r="I18" i="31"/>
  <c r="N17" i="31"/>
  <c r="O17" i="31" s="1"/>
  <c r="R17" i="31" s="1"/>
  <c r="V17" i="31" s="1"/>
  <c r="V50" i="31"/>
  <c r="L40" i="31"/>
  <c r="M61" i="31"/>
  <c r="N61" i="31" s="1"/>
  <c r="O61" i="31" s="1"/>
  <c r="R61" i="31" s="1"/>
  <c r="V61" i="31" s="1"/>
  <c r="M49" i="31"/>
  <c r="I47" i="31"/>
  <c r="N46" i="31"/>
  <c r="O46" i="31" s="1"/>
  <c r="R46" i="31" s="1"/>
  <c r="V46" i="31" s="1"/>
  <c r="M37" i="31"/>
  <c r="N37" i="31" s="1"/>
  <c r="O37" i="31" s="1"/>
  <c r="R37" i="31" s="1"/>
  <c r="V37" i="31" s="1"/>
  <c r="I35" i="31"/>
  <c r="M25" i="31"/>
  <c r="K25" i="31"/>
  <c r="I23" i="31"/>
  <c r="V62" i="31"/>
  <c r="L61" i="31"/>
  <c r="L46" i="31"/>
  <c r="K40" i="31"/>
  <c r="K37"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H28" i="31"/>
  <c r="H27" i="31"/>
  <c r="H26" i="31"/>
  <c r="H25" i="31"/>
  <c r="H24" i="31"/>
  <c r="H23" i="31"/>
  <c r="H22" i="31"/>
  <c r="H21" i="31"/>
  <c r="H20" i="31"/>
  <c r="H19" i="31"/>
  <c r="U59" i="31" l="1"/>
  <c r="X59" i="31" s="1"/>
  <c r="W59" i="31"/>
  <c r="T59" i="31"/>
  <c r="V59" i="31"/>
  <c r="V56" i="31"/>
  <c r="T56" i="31"/>
  <c r="U56" i="31"/>
  <c r="X56" i="31" s="1"/>
  <c r="W56" i="31"/>
  <c r="Y56" i="31" s="1"/>
  <c r="T53" i="31"/>
  <c r="T90" i="31"/>
  <c r="U90" i="31"/>
  <c r="X90" i="31" s="1"/>
  <c r="W90" i="31"/>
  <c r="Y90" i="31" s="1"/>
  <c r="T43" i="31"/>
  <c r="U43" i="31"/>
  <c r="X43" i="31" s="1"/>
  <c r="W43" i="31"/>
  <c r="U57" i="31"/>
  <c r="X57" i="31" s="1"/>
  <c r="T57" i="31"/>
  <c r="W57" i="31"/>
  <c r="Y57" i="31" s="1"/>
  <c r="T37" i="31"/>
  <c r="U37" i="31"/>
  <c r="X37" i="31" s="1"/>
  <c r="W37" i="31"/>
  <c r="T38" i="31"/>
  <c r="U38" i="31"/>
  <c r="X38" i="31" s="1"/>
  <c r="W38" i="31"/>
  <c r="Y38" i="31" s="1"/>
  <c r="U61" i="31"/>
  <c r="X61" i="31" s="1"/>
  <c r="T61" i="31"/>
  <c r="W61" i="31"/>
  <c r="T93" i="31"/>
  <c r="U93" i="31"/>
  <c r="X93" i="31" s="1"/>
  <c r="W93" i="31"/>
  <c r="Y93" i="31" s="1"/>
  <c r="T77" i="31"/>
  <c r="U77" i="31"/>
  <c r="X77" i="31" s="1"/>
  <c r="W77" i="31"/>
  <c r="U48" i="31"/>
  <c r="X48" i="31" s="1"/>
  <c r="T48" i="31"/>
  <c r="W48" i="31"/>
  <c r="Y48" i="31" s="1"/>
  <c r="T41" i="31"/>
  <c r="U41" i="31"/>
  <c r="X41" i="31" s="1"/>
  <c r="W41" i="31"/>
  <c r="U52" i="31"/>
  <c r="X52" i="31" s="1"/>
  <c r="T52" i="31"/>
  <c r="W52" i="31"/>
  <c r="Y52" i="31" s="1"/>
  <c r="U30" i="31"/>
  <c r="X30" i="31" s="1"/>
  <c r="W30" i="31"/>
  <c r="Y30" i="31" s="1"/>
  <c r="T30" i="31"/>
  <c r="T92" i="31"/>
  <c r="U92" i="31"/>
  <c r="X92" i="31" s="1"/>
  <c r="W92" i="31"/>
  <c r="Y92" i="31" s="1"/>
  <c r="T72" i="31"/>
  <c r="U72" i="31"/>
  <c r="X72" i="31" s="1"/>
  <c r="W72" i="31"/>
  <c r="U15" i="31"/>
  <c r="X15" i="31" s="1"/>
  <c r="W15" i="31"/>
  <c r="T15" i="31"/>
  <c r="T35" i="31"/>
  <c r="U35" i="31"/>
  <c r="X35" i="31" s="1"/>
  <c r="W35" i="31"/>
  <c r="U54" i="31"/>
  <c r="X54" i="31" s="1"/>
  <c r="T54" i="31"/>
  <c r="W54" i="31"/>
  <c r="Y54" i="31" s="1"/>
  <c r="U27" i="31"/>
  <c r="X27" i="31" s="1"/>
  <c r="W27" i="31"/>
  <c r="Y27" i="31" s="1"/>
  <c r="T27" i="31"/>
  <c r="T75" i="31"/>
  <c r="U75" i="31"/>
  <c r="X75" i="31" s="1"/>
  <c r="W75" i="31"/>
  <c r="T34" i="31"/>
  <c r="U34" i="31"/>
  <c r="X34" i="31" s="1"/>
  <c r="W34" i="31"/>
  <c r="W53" i="31"/>
  <c r="T84" i="31"/>
  <c r="U84" i="31"/>
  <c r="X84" i="31" s="1"/>
  <c r="W84" i="31"/>
  <c r="T32" i="31"/>
  <c r="U32" i="31"/>
  <c r="X32" i="31" s="1"/>
  <c r="W32" i="31"/>
  <c r="T22" i="31"/>
  <c r="U22" i="31"/>
  <c r="X22" i="31" s="1"/>
  <c r="W22" i="31"/>
  <c r="Y22" i="31" s="1"/>
  <c r="U53" i="31"/>
  <c r="X53" i="31" s="1"/>
  <c r="T16" i="31"/>
  <c r="U16" i="31"/>
  <c r="X16" i="31" s="1"/>
  <c r="W16" i="31"/>
  <c r="W73" i="31"/>
  <c r="Y73" i="31" s="1"/>
  <c r="T73" i="31"/>
  <c r="U73" i="31"/>
  <c r="X73" i="31" s="1"/>
  <c r="T78" i="31"/>
  <c r="U78" i="31"/>
  <c r="X78" i="31" s="1"/>
  <c r="W78" i="31"/>
  <c r="Y78" i="31" s="1"/>
  <c r="T31" i="31"/>
  <c r="U31" i="31"/>
  <c r="X31" i="31" s="1"/>
  <c r="W31" i="31"/>
  <c r="Y31" i="31" s="1"/>
  <c r="W76" i="31"/>
  <c r="T76" i="31"/>
  <c r="U76" i="31"/>
  <c r="X76" i="31" s="1"/>
  <c r="T74" i="31"/>
  <c r="U74" i="31"/>
  <c r="X74" i="31" s="1"/>
  <c r="W74" i="31"/>
  <c r="U18" i="31"/>
  <c r="X18" i="31" s="1"/>
  <c r="W18" i="31"/>
  <c r="T18" i="31"/>
  <c r="T17" i="31"/>
  <c r="U17" i="31"/>
  <c r="X17" i="31" s="1"/>
  <c r="W17" i="31"/>
  <c r="Y17" i="31" s="1"/>
  <c r="T83" i="31"/>
  <c r="U83" i="31"/>
  <c r="X83" i="31" s="1"/>
  <c r="W83" i="31"/>
  <c r="Y83" i="31" s="1"/>
  <c r="U51" i="31"/>
  <c r="X51" i="31" s="1"/>
  <c r="T51" i="31"/>
  <c r="W51" i="31"/>
  <c r="W67" i="31"/>
  <c r="T67" i="31"/>
  <c r="U67" i="31"/>
  <c r="X67" i="31" s="1"/>
  <c r="U33" i="31"/>
  <c r="X33" i="31" s="1"/>
  <c r="W33" i="31"/>
  <c r="T33" i="31"/>
  <c r="W70" i="31"/>
  <c r="T70" i="31"/>
  <c r="U70" i="31"/>
  <c r="X70" i="31" s="1"/>
  <c r="U58" i="31"/>
  <c r="X58" i="31" s="1"/>
  <c r="T58" i="31"/>
  <c r="W58" i="31"/>
  <c r="T65" i="31"/>
  <c r="U65" i="31"/>
  <c r="X65" i="31" s="1"/>
  <c r="W65" i="31"/>
  <c r="Y65" i="31" s="1"/>
  <c r="U36" i="31"/>
  <c r="X36" i="31" s="1"/>
  <c r="W36" i="31"/>
  <c r="T36" i="31"/>
  <c r="W88" i="31"/>
  <c r="T88" i="31"/>
  <c r="U88" i="31"/>
  <c r="X88" i="31" s="1"/>
  <c r="T40" i="31"/>
  <c r="U40" i="31"/>
  <c r="X40" i="31" s="1"/>
  <c r="W40" i="31"/>
  <c r="U49" i="31"/>
  <c r="X49" i="31" s="1"/>
  <c r="T49" i="31"/>
  <c r="W49" i="31"/>
  <c r="Y49" i="31" s="1"/>
  <c r="T80" i="31"/>
  <c r="U80" i="31"/>
  <c r="X80" i="31" s="1"/>
  <c r="W80" i="31"/>
  <c r="Y80" i="31" s="1"/>
  <c r="W79" i="31"/>
  <c r="T79" i="31"/>
  <c r="U79" i="31"/>
  <c r="X79" i="31" s="1"/>
  <c r="T68" i="31"/>
  <c r="U68" i="31"/>
  <c r="X68" i="31" s="1"/>
  <c r="W68" i="31"/>
  <c r="U64" i="31"/>
  <c r="X64" i="31" s="1"/>
  <c r="W64" i="31"/>
  <c r="T64" i="31"/>
  <c r="U42" i="31"/>
  <c r="X42" i="31" s="1"/>
  <c r="T42" i="31"/>
  <c r="W42" i="31"/>
  <c r="Y42" i="31" s="1"/>
  <c r="T89" i="31"/>
  <c r="U89" i="31"/>
  <c r="X89" i="31" s="1"/>
  <c r="W89" i="31"/>
  <c r="Y89" i="31" s="1"/>
  <c r="U60" i="31"/>
  <c r="X60" i="31" s="1"/>
  <c r="T60" i="31"/>
  <c r="W60" i="31"/>
  <c r="T44" i="31"/>
  <c r="U44" i="31"/>
  <c r="X44" i="31" s="1"/>
  <c r="W44" i="31"/>
  <c r="Y44" i="31" s="1"/>
  <c r="T26" i="31"/>
  <c r="U26" i="31"/>
  <c r="X26" i="31" s="1"/>
  <c r="W26" i="31"/>
  <c r="Y26" i="31" s="1"/>
  <c r="T69" i="31"/>
  <c r="U69" i="31"/>
  <c r="X69" i="31" s="1"/>
  <c r="W69" i="31"/>
  <c r="Y69" i="31" s="1"/>
  <c r="T87" i="31"/>
  <c r="U87" i="31"/>
  <c r="X87" i="31" s="1"/>
  <c r="W87" i="31"/>
  <c r="W91" i="31"/>
  <c r="T91" i="31"/>
  <c r="U91" i="31"/>
  <c r="X91" i="31" s="1"/>
  <c r="T25" i="31"/>
  <c r="U25" i="31"/>
  <c r="X25" i="31" s="1"/>
  <c r="W25" i="31"/>
  <c r="Y25" i="31" s="1"/>
  <c r="T23" i="31"/>
  <c r="U23" i="31"/>
  <c r="X23" i="31" s="1"/>
  <c r="W23" i="31"/>
  <c r="Y23" i="31" s="1"/>
  <c r="T29" i="31"/>
  <c r="U29" i="31"/>
  <c r="X29" i="31" s="1"/>
  <c r="W29" i="31"/>
  <c r="U24" i="31"/>
  <c r="X24" i="31" s="1"/>
  <c r="W24" i="31"/>
  <c r="T24" i="31"/>
  <c r="T71" i="31"/>
  <c r="U71" i="31"/>
  <c r="X71" i="31" s="1"/>
  <c r="W71" i="31"/>
  <c r="Y71" i="31" s="1"/>
  <c r="T66" i="31"/>
  <c r="U66" i="31"/>
  <c r="X66" i="31" s="1"/>
  <c r="W66" i="31"/>
  <c r="Y66" i="31" s="1"/>
  <c r="W82" i="31"/>
  <c r="Y82" i="31" s="1"/>
  <c r="T82" i="31"/>
  <c r="U82" i="31"/>
  <c r="X82" i="31" s="1"/>
  <c r="U39" i="31"/>
  <c r="X39" i="31" s="1"/>
  <c r="T39" i="31"/>
  <c r="W39" i="31"/>
  <c r="Y39" i="31" s="1"/>
  <c r="U63" i="31"/>
  <c r="X63" i="31" s="1"/>
  <c r="T63" i="31"/>
  <c r="W63" i="31"/>
  <c r="Y63" i="31" s="1"/>
  <c r="W62" i="31"/>
  <c r="Y62" i="31" s="1"/>
  <c r="T81" i="31"/>
  <c r="U81" i="31"/>
  <c r="X81" i="31" s="1"/>
  <c r="W81" i="31"/>
  <c r="Y81" i="31" s="1"/>
  <c r="T47" i="31"/>
  <c r="U47" i="31"/>
  <c r="X47" i="31" s="1"/>
  <c r="W47" i="31"/>
  <c r="Y47" i="31" s="1"/>
  <c r="T19" i="31"/>
  <c r="U19" i="31"/>
  <c r="X19" i="31" s="1"/>
  <c r="W19" i="31"/>
  <c r="Y50" i="31"/>
  <c r="T20" i="31"/>
  <c r="U20" i="31"/>
  <c r="X20" i="31" s="1"/>
  <c r="W20" i="31"/>
  <c r="U21" i="31"/>
  <c r="X21" i="31" s="1"/>
  <c r="W21" i="31"/>
  <c r="Y21" i="31" s="1"/>
  <c r="T21" i="31"/>
  <c r="U45" i="31"/>
  <c r="X45" i="31" s="1"/>
  <c r="T45" i="31"/>
  <c r="W45" i="31"/>
  <c r="Y45" i="31" s="1"/>
  <c r="T28" i="31"/>
  <c r="U28" i="31"/>
  <c r="X28" i="31" s="1"/>
  <c r="W28" i="31"/>
  <c r="Y28" i="31" s="1"/>
  <c r="W85" i="31"/>
  <c r="Y85" i="31" s="1"/>
  <c r="T85" i="31"/>
  <c r="U85" i="31"/>
  <c r="X85" i="31" s="1"/>
  <c r="U46" i="31"/>
  <c r="X46" i="31" s="1"/>
  <c r="T46" i="31"/>
  <c r="W46" i="31"/>
  <c r="U55" i="31"/>
  <c r="X55" i="31" s="1"/>
  <c r="T55" i="31"/>
  <c r="W55" i="31"/>
  <c r="Y55" i="31" s="1"/>
  <c r="T86" i="31"/>
  <c r="U86" i="31"/>
  <c r="X86" i="31" s="1"/>
  <c r="W86" i="31"/>
  <c r="Y86" i="31" s="1"/>
  <c r="P15" i="32"/>
  <c r="Q15" i="32" s="1"/>
  <c r="R15" i="32" s="1"/>
  <c r="T15" i="32"/>
  <c r="P16" i="32"/>
  <c r="Q16" i="32" s="1"/>
  <c r="R16" i="32" s="1"/>
  <c r="T16" i="32"/>
  <c r="P17" i="32"/>
  <c r="Q17" i="32" s="1"/>
  <c r="R17" i="32" s="1"/>
  <c r="T17" i="32"/>
  <c r="P18" i="32"/>
  <c r="Q18" i="32"/>
  <c r="R18" i="32" s="1"/>
  <c r="T18" i="32"/>
  <c r="B15" i="32"/>
  <c r="C15" i="32"/>
  <c r="D15" i="32"/>
  <c r="E15" i="32"/>
  <c r="K15" i="32" s="1"/>
  <c r="F15" i="32"/>
  <c r="G15" i="32"/>
  <c r="I15" i="32" s="1"/>
  <c r="B16" i="32"/>
  <c r="C16" i="32"/>
  <c r="D16" i="32"/>
  <c r="E16" i="32"/>
  <c r="F16" i="32"/>
  <c r="G16" i="32"/>
  <c r="B17" i="32"/>
  <c r="C17" i="32"/>
  <c r="D17" i="32"/>
  <c r="E17" i="32"/>
  <c r="F17" i="32"/>
  <c r="G17" i="32"/>
  <c r="B18" i="32"/>
  <c r="C18" i="32"/>
  <c r="D18" i="32"/>
  <c r="E18" i="32"/>
  <c r="F18" i="32"/>
  <c r="G18" i="32"/>
  <c r="O15" i="8"/>
  <c r="O16" i="8"/>
  <c r="O17" i="8"/>
  <c r="O18" i="8"/>
  <c r="B15" i="8"/>
  <c r="C15" i="8"/>
  <c r="D15" i="8"/>
  <c r="E15" i="8"/>
  <c r="F15" i="8"/>
  <c r="G15" i="8"/>
  <c r="B16" i="8"/>
  <c r="C16" i="8"/>
  <c r="D16" i="8"/>
  <c r="E16" i="8"/>
  <c r="F16" i="8"/>
  <c r="G16" i="8"/>
  <c r="B17" i="8"/>
  <c r="C17" i="8"/>
  <c r="D17" i="8"/>
  <c r="E17" i="8"/>
  <c r="F17" i="8"/>
  <c r="G17" i="8"/>
  <c r="B18" i="8"/>
  <c r="C18" i="8"/>
  <c r="D18" i="8"/>
  <c r="E18" i="8"/>
  <c r="F18" i="8"/>
  <c r="G18" i="8"/>
  <c r="O15" i="30"/>
  <c r="O16" i="30"/>
  <c r="O17" i="30"/>
  <c r="O18" i="30"/>
  <c r="B15" i="30"/>
  <c r="C15" i="30"/>
  <c r="D15" i="30"/>
  <c r="E15" i="30"/>
  <c r="F15" i="30"/>
  <c r="G15" i="30"/>
  <c r="B16" i="30"/>
  <c r="C16" i="30"/>
  <c r="D16" i="30"/>
  <c r="E16" i="30"/>
  <c r="F16" i="30"/>
  <c r="G16" i="30"/>
  <c r="B17" i="30"/>
  <c r="C17" i="30"/>
  <c r="D17" i="30"/>
  <c r="E17" i="30"/>
  <c r="F17" i="30"/>
  <c r="G17" i="30"/>
  <c r="B18" i="30"/>
  <c r="C18" i="30"/>
  <c r="D18" i="30"/>
  <c r="E18" i="30"/>
  <c r="F18" i="30"/>
  <c r="G18" i="30"/>
  <c r="S10" i="32"/>
  <c r="Z66" i="31" l="1"/>
  <c r="AB66" i="31"/>
  <c r="AA66" i="31"/>
  <c r="Z23" i="31"/>
  <c r="AB23" i="31"/>
  <c r="AA23" i="31"/>
  <c r="Z69" i="31"/>
  <c r="AB69" i="31"/>
  <c r="AA69" i="31"/>
  <c r="AB89" i="31"/>
  <c r="Z89" i="31"/>
  <c r="AA89" i="31"/>
  <c r="AB83" i="31"/>
  <c r="Z83" i="31"/>
  <c r="AA83" i="31"/>
  <c r="Y16" i="31"/>
  <c r="AB92" i="31"/>
  <c r="Z92" i="31"/>
  <c r="AA92" i="31"/>
  <c r="Y20" i="31"/>
  <c r="Y53" i="31"/>
  <c r="Z21" i="31"/>
  <c r="AB21" i="31"/>
  <c r="AA21" i="31"/>
  <c r="Z90" i="31"/>
  <c r="AB90" i="31"/>
  <c r="AA90" i="31"/>
  <c r="Z62" i="31"/>
  <c r="AB62" i="31"/>
  <c r="AA62" i="31"/>
  <c r="Y79" i="31"/>
  <c r="Y88" i="31"/>
  <c r="Y70" i="31"/>
  <c r="Y76" i="31"/>
  <c r="Y34" i="31"/>
  <c r="Y35" i="31"/>
  <c r="Y77" i="31"/>
  <c r="Y37" i="31"/>
  <c r="AB71" i="31"/>
  <c r="Z71" i="31"/>
  <c r="AA71" i="31"/>
  <c r="Z25" i="31"/>
  <c r="AB25" i="31"/>
  <c r="AA25" i="31"/>
  <c r="Z26" i="31"/>
  <c r="AB26" i="31"/>
  <c r="AA26" i="31"/>
  <c r="Z42" i="31"/>
  <c r="AB42" i="31"/>
  <c r="AA42" i="31"/>
  <c r="AB80" i="31"/>
  <c r="Z80" i="31"/>
  <c r="AA80" i="31"/>
  <c r="Z17" i="31"/>
  <c r="AB17" i="31"/>
  <c r="AA17" i="31"/>
  <c r="Z31" i="31"/>
  <c r="AB31" i="31"/>
  <c r="AA31" i="31"/>
  <c r="Z30" i="31"/>
  <c r="AB30" i="31"/>
  <c r="AA30" i="31"/>
  <c r="Z56" i="31"/>
  <c r="AB56" i="31"/>
  <c r="AA56" i="31"/>
  <c r="Z50" i="31"/>
  <c r="AB50" i="31"/>
  <c r="AA50" i="31"/>
  <c r="Y36" i="31"/>
  <c r="Y33" i="31"/>
  <c r="Z22" i="31"/>
  <c r="AB22" i="31"/>
  <c r="AA22" i="31"/>
  <c r="Y19" i="31"/>
  <c r="Y75" i="31"/>
  <c r="AB52" i="31"/>
  <c r="Z52" i="31"/>
  <c r="AA52" i="31"/>
  <c r="Z93" i="31"/>
  <c r="AB93" i="31"/>
  <c r="AA93" i="31"/>
  <c r="AB57" i="31"/>
  <c r="Z57" i="31"/>
  <c r="AA57" i="31"/>
  <c r="AB63" i="31"/>
  <c r="Z63" i="31"/>
  <c r="AA63" i="31"/>
  <c r="Z39" i="31"/>
  <c r="AB39" i="31"/>
  <c r="AA39" i="31"/>
  <c r="Z44" i="31"/>
  <c r="AB44" i="31"/>
  <c r="AA44" i="31"/>
  <c r="Z49" i="31"/>
  <c r="AB49" i="31"/>
  <c r="AA49" i="31"/>
  <c r="AB65" i="31"/>
  <c r="Z65" i="31"/>
  <c r="AA65" i="31"/>
  <c r="Z78" i="31"/>
  <c r="AB78" i="31"/>
  <c r="AA78" i="31"/>
  <c r="Y15" i="31"/>
  <c r="Z81" i="31"/>
  <c r="AB81" i="31"/>
  <c r="AA81" i="31"/>
  <c r="Z73" i="31"/>
  <c r="AB73" i="31"/>
  <c r="AA73" i="31"/>
  <c r="Z85" i="31"/>
  <c r="AB85" i="31"/>
  <c r="AA85" i="31"/>
  <c r="Z55" i="31"/>
  <c r="AB55" i="31"/>
  <c r="AA55" i="31"/>
  <c r="Z45" i="31"/>
  <c r="AB45" i="31"/>
  <c r="AA45" i="31"/>
  <c r="Y24" i="31"/>
  <c r="Y64" i="31"/>
  <c r="Y18" i="31"/>
  <c r="Y32" i="31"/>
  <c r="Z82" i="31"/>
  <c r="AB82" i="31"/>
  <c r="AA82" i="31"/>
  <c r="AB38" i="31"/>
  <c r="Z38" i="31"/>
  <c r="AA38" i="31"/>
  <c r="Z47" i="31"/>
  <c r="AB47" i="31"/>
  <c r="AA47" i="31"/>
  <c r="Y91" i="31"/>
  <c r="Y67" i="31"/>
  <c r="Y72" i="31"/>
  <c r="Y41" i="31"/>
  <c r="Y61" i="31"/>
  <c r="Y43" i="31"/>
  <c r="Z48" i="31"/>
  <c r="AB48" i="31"/>
  <c r="AA48" i="31"/>
  <c r="Z28" i="31"/>
  <c r="AB28" i="31"/>
  <c r="AA28" i="31"/>
  <c r="Y29" i="31"/>
  <c r="Y87" i="31"/>
  <c r="Y60" i="31"/>
  <c r="Y68" i="31"/>
  <c r="Y40" i="31"/>
  <c r="Y58" i="31"/>
  <c r="Y51" i="31"/>
  <c r="Y74" i="31"/>
  <c r="Z27" i="31"/>
  <c r="AB27" i="31"/>
  <c r="AA27" i="31"/>
  <c r="Y59" i="31"/>
  <c r="Z54" i="31"/>
  <c r="AB54" i="31"/>
  <c r="AA54" i="31"/>
  <c r="AB86" i="31"/>
  <c r="Z86" i="31"/>
  <c r="AA86" i="31"/>
  <c r="Y46" i="31"/>
  <c r="Y84" i="31"/>
  <c r="J15" i="8"/>
  <c r="K16" i="30"/>
  <c r="L17" i="32"/>
  <c r="J17" i="30"/>
  <c r="J18" i="30"/>
  <c r="K18" i="32"/>
  <c r="N18" i="32"/>
  <c r="M15" i="30"/>
  <c r="N15" i="30" s="1"/>
  <c r="J17" i="8"/>
  <c r="J15" i="30"/>
  <c r="J16" i="30"/>
  <c r="J18" i="8"/>
  <c r="J16" i="8"/>
  <c r="L18" i="32"/>
  <c r="L16" i="32"/>
  <c r="L18" i="30"/>
  <c r="L15" i="8"/>
  <c r="M15" i="8" s="1"/>
  <c r="N15" i="8" s="1"/>
  <c r="K17" i="32"/>
  <c r="L16" i="30"/>
  <c r="M16" i="30" s="1"/>
  <c r="N16" i="30" s="1"/>
  <c r="P16" i="30" s="1"/>
  <c r="K16" i="32"/>
  <c r="M17" i="32"/>
  <c r="O17" i="32" s="1"/>
  <c r="S17" i="32" s="1"/>
  <c r="W17" i="32" s="1"/>
  <c r="I16" i="32"/>
  <c r="I18" i="32"/>
  <c r="M15" i="32"/>
  <c r="O15" i="32" s="1"/>
  <c r="S15" i="32" s="1"/>
  <c r="U15" i="32" s="1"/>
  <c r="M18" i="32"/>
  <c r="O18" i="32" s="1"/>
  <c r="S18" i="32" s="1"/>
  <c r="W18" i="32" s="1"/>
  <c r="L15" i="32"/>
  <c r="I17" i="32"/>
  <c r="M16" i="32"/>
  <c r="O16" i="32" s="1"/>
  <c r="S16" i="32" s="1"/>
  <c r="W16" i="32" s="1"/>
  <c r="L18" i="8"/>
  <c r="M18" i="8" s="1"/>
  <c r="L16" i="8"/>
  <c r="M16" i="8" s="1"/>
  <c r="N16" i="8" s="1"/>
  <c r="K18" i="8"/>
  <c r="K16" i="8"/>
  <c r="L17" i="8"/>
  <c r="K17" i="8"/>
  <c r="K15" i="8"/>
  <c r="K18" i="30"/>
  <c r="M18" i="30" s="1"/>
  <c r="N18" i="30" s="1"/>
  <c r="Q18" i="30" s="1"/>
  <c r="L17" i="30"/>
  <c r="M17" i="30" s="1"/>
  <c r="N17" i="30" s="1"/>
  <c r="P17" i="30" s="1"/>
  <c r="L15" i="30"/>
  <c r="K17" i="30"/>
  <c r="K15" i="30"/>
  <c r="Z34" i="31" l="1"/>
  <c r="AB34" i="31"/>
  <c r="AA34" i="31"/>
  <c r="Z91" i="31"/>
  <c r="AB91" i="31"/>
  <c r="AA91" i="31"/>
  <c r="Z33" i="31"/>
  <c r="AB33" i="31"/>
  <c r="AA33" i="31"/>
  <c r="Z76" i="31"/>
  <c r="AB76" i="31"/>
  <c r="AA76" i="31"/>
  <c r="Z35" i="31"/>
  <c r="AB35" i="31"/>
  <c r="AA35" i="31"/>
  <c r="Z36" i="31"/>
  <c r="AB36" i="31"/>
  <c r="AA36" i="31"/>
  <c r="Z70" i="31"/>
  <c r="AB70" i="31"/>
  <c r="AA70" i="31"/>
  <c r="AB53" i="31"/>
  <c r="Z53" i="31"/>
  <c r="AA53" i="31"/>
  <c r="Z88" i="31"/>
  <c r="AB88" i="31"/>
  <c r="AA88" i="31"/>
  <c r="Z20" i="31"/>
  <c r="AB20" i="31"/>
  <c r="AA20" i="31"/>
  <c r="Z29" i="31"/>
  <c r="AB29" i="31"/>
  <c r="AA29" i="31"/>
  <c r="Z15" i="31"/>
  <c r="AB15" i="31"/>
  <c r="AA15" i="31"/>
  <c r="Z79" i="31"/>
  <c r="AB79" i="31"/>
  <c r="AA79" i="31"/>
  <c r="Z24" i="31"/>
  <c r="AB24" i="31"/>
  <c r="AA24" i="31"/>
  <c r="Z51" i="31"/>
  <c r="AB51" i="31"/>
  <c r="AA51" i="31"/>
  <c r="AB74" i="31"/>
  <c r="Z74" i="31"/>
  <c r="AA74" i="31"/>
  <c r="Z58" i="31"/>
  <c r="AB58" i="31"/>
  <c r="AA58" i="31"/>
  <c r="Z43" i="31"/>
  <c r="AB43" i="31"/>
  <c r="AA43" i="31"/>
  <c r="Z64" i="31"/>
  <c r="AB64" i="31"/>
  <c r="AA64" i="31"/>
  <c r="AB61" i="31"/>
  <c r="Z61" i="31"/>
  <c r="AA61" i="31"/>
  <c r="Z16" i="31"/>
  <c r="AB16" i="31"/>
  <c r="AA16" i="31"/>
  <c r="Z84" i="31"/>
  <c r="AB84" i="31"/>
  <c r="AA84" i="31"/>
  <c r="Z40" i="31"/>
  <c r="AB40" i="31"/>
  <c r="AA40" i="31"/>
  <c r="AB68" i="31"/>
  <c r="Z68" i="31"/>
  <c r="AA68" i="31"/>
  <c r="Z41" i="31"/>
  <c r="AB41" i="31"/>
  <c r="AA41" i="31"/>
  <c r="Z75" i="31"/>
  <c r="AB75" i="31"/>
  <c r="AA75" i="31"/>
  <c r="Z59" i="31"/>
  <c r="AB59" i="31"/>
  <c r="AA59" i="31"/>
  <c r="Z60" i="31"/>
  <c r="AB60" i="31"/>
  <c r="AA60" i="31"/>
  <c r="Z72" i="31"/>
  <c r="AB72" i="31"/>
  <c r="AA72" i="31"/>
  <c r="Z32" i="31"/>
  <c r="AB32" i="31"/>
  <c r="AA32" i="31"/>
  <c r="Z19" i="31"/>
  <c r="AB19" i="31"/>
  <c r="AA19" i="31"/>
  <c r="Z37" i="31"/>
  <c r="AB37" i="31"/>
  <c r="AA37" i="31"/>
  <c r="Z46" i="31"/>
  <c r="AB46" i="31"/>
  <c r="AA46" i="31"/>
  <c r="Z87" i="31"/>
  <c r="AB87" i="31"/>
  <c r="AA87" i="31"/>
  <c r="Z67" i="31"/>
  <c r="AB67" i="31"/>
  <c r="AA67" i="31"/>
  <c r="Z18" i="31"/>
  <c r="AB18" i="31"/>
  <c r="AA18" i="31"/>
  <c r="AB77" i="31"/>
  <c r="Z77" i="31"/>
  <c r="AA77" i="31"/>
  <c r="M17" i="8"/>
  <c r="N17" i="8" s="1"/>
  <c r="Q17" i="8" s="1"/>
  <c r="N16" i="32"/>
  <c r="P15" i="8"/>
  <c r="Q15" i="8"/>
  <c r="P16" i="8"/>
  <c r="R16" i="8" s="1"/>
  <c r="Q16" i="8"/>
  <c r="P15" i="30"/>
  <c r="R15" i="30" s="1"/>
  <c r="Q15" i="30"/>
  <c r="W15" i="32"/>
  <c r="N17" i="32"/>
  <c r="N15" i="32"/>
  <c r="N18" i="8"/>
  <c r="Q18" i="8" s="1"/>
  <c r="U18" i="32"/>
  <c r="V18" i="32"/>
  <c r="Y18" i="32" s="1"/>
  <c r="X18" i="32"/>
  <c r="U16" i="32"/>
  <c r="V16" i="32"/>
  <c r="Y16" i="32" s="1"/>
  <c r="X16" i="32"/>
  <c r="Z16" i="32" s="1"/>
  <c r="X17" i="32"/>
  <c r="V17" i="32"/>
  <c r="Y17" i="32" s="1"/>
  <c r="U17" i="32"/>
  <c r="V15" i="32"/>
  <c r="Y15" i="32" s="1"/>
  <c r="X15" i="32"/>
  <c r="Z15" i="32" s="1"/>
  <c r="R15" i="8"/>
  <c r="S15" i="8"/>
  <c r="T15" i="8"/>
  <c r="T16" i="8"/>
  <c r="P17" i="8"/>
  <c r="P18" i="30"/>
  <c r="T18" i="30" s="1"/>
  <c r="Q16" i="30"/>
  <c r="Q17" i="30"/>
  <c r="R17" i="30"/>
  <c r="S17" i="30"/>
  <c r="T17" i="30"/>
  <c r="T16" i="30"/>
  <c r="R16" i="30"/>
  <c r="S16" i="30"/>
  <c r="T15" i="30" l="1"/>
  <c r="S15" i="30"/>
  <c r="S16" i="8"/>
  <c r="Z18" i="32"/>
  <c r="AA18" i="32" s="1"/>
  <c r="P18" i="8"/>
  <c r="Z17" i="32"/>
  <c r="AC16" i="32"/>
  <c r="AA16" i="32"/>
  <c r="AB16" i="32"/>
  <c r="AA15" i="32"/>
  <c r="AC15" i="32"/>
  <c r="AB15" i="32"/>
  <c r="R17" i="8"/>
  <c r="S17" i="8"/>
  <c r="T17" i="8"/>
  <c r="R18" i="8"/>
  <c r="S18" i="8"/>
  <c r="T18" i="8"/>
  <c r="S18" i="30"/>
  <c r="R18" i="30"/>
  <c r="B36" i="28"/>
  <c r="C36" i="28"/>
  <c r="D36" i="28"/>
  <c r="E36" i="28"/>
  <c r="F36" i="28"/>
  <c r="G36" i="28"/>
  <c r="I36" i="28" s="1"/>
  <c r="K36" i="28" s="1"/>
  <c r="L36" i="28" s="1"/>
  <c r="M36" i="28" s="1"/>
  <c r="B37" i="28"/>
  <c r="C37" i="28"/>
  <c r="D37" i="28"/>
  <c r="E37" i="28"/>
  <c r="F37" i="28"/>
  <c r="G37" i="28"/>
  <c r="I37" i="28"/>
  <c r="K37" i="28" s="1"/>
  <c r="L37" i="28" s="1"/>
  <c r="M37" i="28" s="1"/>
  <c r="B38" i="28"/>
  <c r="C38" i="28"/>
  <c r="D38" i="28"/>
  <c r="E38" i="28"/>
  <c r="F38" i="28"/>
  <c r="G38" i="28"/>
  <c r="I38" i="28"/>
  <c r="K38" i="28"/>
  <c r="L38" i="28" s="1"/>
  <c r="M38" i="28" s="1"/>
  <c r="B39" i="28"/>
  <c r="C39" i="28"/>
  <c r="D39" i="28"/>
  <c r="E39" i="28"/>
  <c r="F39" i="28"/>
  <c r="G39" i="28"/>
  <c r="I39" i="28"/>
  <c r="K39" i="28" s="1"/>
  <c r="L39" i="28" s="1"/>
  <c r="M39" i="28" s="1"/>
  <c r="B40" i="28"/>
  <c r="C40" i="28"/>
  <c r="D40" i="28"/>
  <c r="E40" i="28"/>
  <c r="F40" i="28"/>
  <c r="G40" i="28"/>
  <c r="I40" i="28" s="1"/>
  <c r="K40" i="28" s="1"/>
  <c r="L40" i="28" s="1"/>
  <c r="M40" i="28" s="1"/>
  <c r="B10" i="5"/>
  <c r="C10" i="5"/>
  <c r="D10" i="5"/>
  <c r="E10" i="5"/>
  <c r="F10" i="5"/>
  <c r="G10" i="5"/>
  <c r="I10" i="5" s="1"/>
  <c r="J10" i="5" s="1"/>
  <c r="B11" i="5"/>
  <c r="C11" i="5"/>
  <c r="D11" i="5"/>
  <c r="E11" i="5"/>
  <c r="F11" i="5"/>
  <c r="G11" i="5"/>
  <c r="I11" i="5" s="1"/>
  <c r="J11" i="5" s="1"/>
  <c r="B12" i="5"/>
  <c r="C12" i="5"/>
  <c r="D12" i="5"/>
  <c r="E12" i="5"/>
  <c r="F12" i="5"/>
  <c r="G12" i="5"/>
  <c r="I12" i="5" s="1"/>
  <c r="J12" i="5" s="1"/>
  <c r="B13" i="5"/>
  <c r="C13" i="5"/>
  <c r="D13" i="5"/>
  <c r="E13" i="5"/>
  <c r="F13" i="5"/>
  <c r="G13" i="5"/>
  <c r="I13" i="5" s="1"/>
  <c r="J13" i="5" s="1"/>
  <c r="B14" i="5"/>
  <c r="C14" i="5"/>
  <c r="D14" i="5"/>
  <c r="E14" i="5"/>
  <c r="F14" i="5"/>
  <c r="G14" i="5"/>
  <c r="B10" i="4"/>
  <c r="C10" i="4"/>
  <c r="D10" i="4"/>
  <c r="E10" i="4"/>
  <c r="F10" i="4"/>
  <c r="G10" i="4"/>
  <c r="O10" i="4"/>
  <c r="U10" i="4"/>
  <c r="B11" i="4"/>
  <c r="C11" i="4"/>
  <c r="D11" i="4"/>
  <c r="E11" i="4"/>
  <c r="F11" i="4"/>
  <c r="G11" i="4"/>
  <c r="I11" i="4"/>
  <c r="O11" i="4"/>
  <c r="U11" i="4"/>
  <c r="B12" i="4"/>
  <c r="C12" i="4"/>
  <c r="D12" i="4"/>
  <c r="J12" i="4" s="1"/>
  <c r="K12" i="4" s="1"/>
  <c r="E12" i="4"/>
  <c r="F12" i="4"/>
  <c r="G12" i="4"/>
  <c r="O12" i="4"/>
  <c r="U12" i="4"/>
  <c r="B13" i="4"/>
  <c r="C13" i="4"/>
  <c r="D13" i="4"/>
  <c r="E13" i="4"/>
  <c r="F13" i="4"/>
  <c r="G13" i="4"/>
  <c r="O13" i="4"/>
  <c r="U13" i="4"/>
  <c r="B14" i="4"/>
  <c r="C14" i="4"/>
  <c r="D14" i="4"/>
  <c r="E14" i="4"/>
  <c r="F14" i="4"/>
  <c r="G14" i="4"/>
  <c r="O14" i="4"/>
  <c r="U14" i="4"/>
  <c r="M10" i="3"/>
  <c r="Z10" i="3"/>
  <c r="M11" i="3"/>
  <c r="Z11" i="3"/>
  <c r="M12" i="3"/>
  <c r="Z12" i="3"/>
  <c r="M13" i="3"/>
  <c r="T13" i="3" s="1"/>
  <c r="Z13" i="3"/>
  <c r="M14" i="3"/>
  <c r="T14" i="3" s="1"/>
  <c r="Z14" i="3"/>
  <c r="M15" i="3"/>
  <c r="T15" i="3" s="1"/>
  <c r="Z15" i="3"/>
  <c r="M16" i="3"/>
  <c r="Z16" i="3"/>
  <c r="M17" i="3"/>
  <c r="T17" i="3" s="1"/>
  <c r="Z17" i="3"/>
  <c r="M18" i="3"/>
  <c r="Z18" i="3"/>
  <c r="M19" i="3"/>
  <c r="Z19" i="3"/>
  <c r="M20" i="3"/>
  <c r="Z20" i="3"/>
  <c r="M21" i="3"/>
  <c r="T21" i="3" s="1"/>
  <c r="Z21" i="3"/>
  <c r="M22" i="3"/>
  <c r="T22" i="3" s="1"/>
  <c r="Z22" i="3"/>
  <c r="M23" i="3"/>
  <c r="T23" i="3" s="1"/>
  <c r="Z23" i="3"/>
  <c r="M24" i="3"/>
  <c r="Z24" i="3"/>
  <c r="M25" i="3"/>
  <c r="T25" i="3" s="1"/>
  <c r="Z25" i="3"/>
  <c r="B10" i="3"/>
  <c r="C10" i="3"/>
  <c r="D10" i="3"/>
  <c r="E10" i="3"/>
  <c r="F10" i="3"/>
  <c r="G10" i="3"/>
  <c r="K10" i="3" s="1"/>
  <c r="B11" i="3"/>
  <c r="C11" i="3"/>
  <c r="D11" i="3"/>
  <c r="E11" i="3"/>
  <c r="F11" i="3"/>
  <c r="G11" i="3"/>
  <c r="V11" i="3" s="1"/>
  <c r="B12" i="3"/>
  <c r="C12" i="3"/>
  <c r="D12" i="3"/>
  <c r="E12" i="3"/>
  <c r="U12" i="3" s="1"/>
  <c r="F12" i="3"/>
  <c r="G12" i="3"/>
  <c r="B13" i="3"/>
  <c r="C13" i="3"/>
  <c r="D13" i="3"/>
  <c r="E13" i="3"/>
  <c r="F13" i="3"/>
  <c r="G13" i="3"/>
  <c r="V13" i="3" s="1"/>
  <c r="B14" i="3"/>
  <c r="C14" i="3"/>
  <c r="D14" i="3"/>
  <c r="E14" i="3"/>
  <c r="F14" i="3"/>
  <c r="G14" i="3"/>
  <c r="B15" i="3"/>
  <c r="C15" i="3"/>
  <c r="D15" i="3"/>
  <c r="E15" i="3"/>
  <c r="F15" i="3"/>
  <c r="G15" i="3"/>
  <c r="V15" i="3" s="1"/>
  <c r="B16" i="3"/>
  <c r="C16" i="3"/>
  <c r="D16" i="3"/>
  <c r="E16" i="3"/>
  <c r="F16" i="3"/>
  <c r="G16" i="3"/>
  <c r="W16" i="3" s="1"/>
  <c r="B17" i="3"/>
  <c r="C17" i="3"/>
  <c r="D17" i="3"/>
  <c r="E17" i="3"/>
  <c r="F17" i="3"/>
  <c r="G17" i="3"/>
  <c r="B18" i="3"/>
  <c r="C18" i="3"/>
  <c r="D18" i="3"/>
  <c r="E18" i="3"/>
  <c r="F18" i="3"/>
  <c r="G18" i="3"/>
  <c r="B19" i="3"/>
  <c r="C19" i="3"/>
  <c r="D19" i="3"/>
  <c r="E19" i="3"/>
  <c r="F19" i="3"/>
  <c r="G19" i="3"/>
  <c r="K19" i="3" s="1"/>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W24" i="3" s="1"/>
  <c r="B25" i="3"/>
  <c r="C25" i="3"/>
  <c r="D25" i="3"/>
  <c r="E25" i="3"/>
  <c r="F25" i="3"/>
  <c r="G25" i="3"/>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4" i="30"/>
  <c r="AB11" i="9"/>
  <c r="AB12" i="9"/>
  <c r="AB13" i="9"/>
  <c r="AB16" i="9"/>
  <c r="AB17" i="9"/>
  <c r="AB18" i="9"/>
  <c r="AB19" i="9"/>
  <c r="AB20" i="9"/>
  <c r="AB21" i="9"/>
  <c r="AB22" i="9"/>
  <c r="AB23" i="9"/>
  <c r="AB24" i="9"/>
  <c r="AK22" i="9"/>
  <c r="AK23" i="9"/>
  <c r="AK24" i="9"/>
  <c r="H15" i="31"/>
  <c r="H16" i="31"/>
  <c r="H17" i="31"/>
  <c r="H18" i="31"/>
  <c r="H14" i="31"/>
  <c r="J10" i="4" l="1"/>
  <c r="K10" i="4" s="1"/>
  <c r="Y12" i="3"/>
  <c r="AC12" i="3" s="1"/>
  <c r="K12" i="5"/>
  <c r="Y11" i="3"/>
  <c r="X11" i="3"/>
  <c r="P11" i="3" s="1"/>
  <c r="AB18" i="32"/>
  <c r="AC18" i="32"/>
  <c r="X16" i="3"/>
  <c r="P16" i="3" s="1"/>
  <c r="U10" i="3"/>
  <c r="K10" i="5"/>
  <c r="N13" i="3"/>
  <c r="O13" i="3" s="1"/>
  <c r="Q13" i="3" s="1"/>
  <c r="J11" i="4"/>
  <c r="L11" i="4" s="1"/>
  <c r="Y13" i="3"/>
  <c r="AC13" i="3" s="1"/>
  <c r="Y10" i="3"/>
  <c r="AC10" i="3" s="1"/>
  <c r="X21" i="3"/>
  <c r="P21" i="3" s="1"/>
  <c r="N10" i="3"/>
  <c r="O10" i="3" s="1"/>
  <c r="Q10" i="3" s="1"/>
  <c r="U11" i="3"/>
  <c r="AG11" i="3" s="1"/>
  <c r="K11" i="5"/>
  <c r="U24" i="3"/>
  <c r="U22" i="3"/>
  <c r="U20" i="3"/>
  <c r="I13" i="4"/>
  <c r="AA12" i="3"/>
  <c r="AB12" i="3" s="1"/>
  <c r="AC11" i="3"/>
  <c r="J13" i="4"/>
  <c r="M13" i="4" s="1"/>
  <c r="Y20" i="3"/>
  <c r="AC20" i="3" s="1"/>
  <c r="K13" i="5"/>
  <c r="L13" i="5" s="1"/>
  <c r="X24" i="3"/>
  <c r="P24" i="3" s="1"/>
  <c r="U25" i="3"/>
  <c r="U23" i="3"/>
  <c r="U21" i="3"/>
  <c r="AA17" i="32"/>
  <c r="AC17" i="32"/>
  <c r="AB17" i="32"/>
  <c r="AB15" i="9"/>
  <c r="AB14" i="9"/>
  <c r="J14" i="4"/>
  <c r="L14" i="4" s="1"/>
  <c r="X19" i="3"/>
  <c r="P19" i="3" s="1"/>
  <c r="U16" i="3"/>
  <c r="AG16" i="3" s="1"/>
  <c r="K14" i="5"/>
  <c r="L14" i="5" s="1"/>
  <c r="Y14" i="3"/>
  <c r="AC14" i="3" s="1"/>
  <c r="I14" i="4"/>
  <c r="U14" i="3"/>
  <c r="AG14" i="3" s="1"/>
  <c r="N39" i="28"/>
  <c r="O39" i="28"/>
  <c r="N38" i="28"/>
  <c r="O38" i="28"/>
  <c r="O36" i="28"/>
  <c r="N36" i="28"/>
  <c r="N40" i="28"/>
  <c r="O40" i="28"/>
  <c r="N37" i="28"/>
  <c r="O37" i="28"/>
  <c r="L12" i="5"/>
  <c r="M12" i="5"/>
  <c r="L11" i="5"/>
  <c r="M11" i="5"/>
  <c r="I14" i="5"/>
  <c r="J14" i="5" s="1"/>
  <c r="M10" i="5"/>
  <c r="L10" i="5"/>
  <c r="K13" i="4"/>
  <c r="L13" i="4"/>
  <c r="N13" i="4"/>
  <c r="R13" i="4" s="1"/>
  <c r="M12" i="4"/>
  <c r="I10" i="4"/>
  <c r="L12" i="4"/>
  <c r="N12" i="4" s="1"/>
  <c r="M10" i="4"/>
  <c r="I12" i="4"/>
  <c r="L10" i="4"/>
  <c r="N10" i="4" s="1"/>
  <c r="Y25" i="3"/>
  <c r="AC25" i="3" s="1"/>
  <c r="Y24" i="3"/>
  <c r="AC24" i="3" s="1"/>
  <c r="Y23" i="3"/>
  <c r="AC23" i="3" s="1"/>
  <c r="Y22" i="3"/>
  <c r="AC22" i="3" s="1"/>
  <c r="Y21" i="3"/>
  <c r="AC21" i="3" s="1"/>
  <c r="Y19" i="3"/>
  <c r="AC19" i="3" s="1"/>
  <c r="Y18" i="3"/>
  <c r="AC18" i="3" s="1"/>
  <c r="Y17" i="3"/>
  <c r="AC17" i="3" s="1"/>
  <c r="Y16" i="3"/>
  <c r="AC16" i="3" s="1"/>
  <c r="Y15" i="3"/>
  <c r="AC15" i="3" s="1"/>
  <c r="N18" i="3"/>
  <c r="O18" i="3" s="1"/>
  <c r="Q18" i="3" s="1"/>
  <c r="N23" i="3"/>
  <c r="O23" i="3" s="1"/>
  <c r="R23" i="3" s="1"/>
  <c r="AG22" i="3"/>
  <c r="N21" i="3"/>
  <c r="O21" i="3" s="1"/>
  <c r="Q21" i="3" s="1"/>
  <c r="AA20" i="3"/>
  <c r="AE20" i="3" s="1"/>
  <c r="X25" i="3"/>
  <c r="P25" i="3" s="1"/>
  <c r="X17" i="3"/>
  <c r="P17" i="3" s="1"/>
  <c r="U18" i="3"/>
  <c r="AG18" i="3" s="1"/>
  <c r="U17" i="3"/>
  <c r="AG17" i="3" s="1"/>
  <c r="U15" i="3"/>
  <c r="AG15" i="3" s="1"/>
  <c r="AG21" i="3"/>
  <c r="AA25" i="3"/>
  <c r="AB20" i="3"/>
  <c r="K18" i="3"/>
  <c r="K25" i="3"/>
  <c r="K17" i="3"/>
  <c r="AG25" i="3"/>
  <c r="V24" i="3"/>
  <c r="N24" i="3"/>
  <c r="O24" i="3" s="1"/>
  <c r="AA23" i="3"/>
  <c r="AB23" i="3" s="1"/>
  <c r="AD23" i="3" s="1"/>
  <c r="X22" i="3"/>
  <c r="P22" i="3" s="1"/>
  <c r="W19" i="3"/>
  <c r="T18" i="3"/>
  <c r="V16" i="3"/>
  <c r="N16" i="3"/>
  <c r="O16" i="3" s="1"/>
  <c r="S16" i="3" s="1"/>
  <c r="X14" i="3"/>
  <c r="P14" i="3" s="1"/>
  <c r="U13" i="3"/>
  <c r="AG13" i="3" s="1"/>
  <c r="W11" i="3"/>
  <c r="T10" i="3"/>
  <c r="W22" i="3"/>
  <c r="AG20" i="3"/>
  <c r="N11" i="3"/>
  <c r="O11" i="3" s="1"/>
  <c r="K23" i="3"/>
  <c r="K15" i="3"/>
  <c r="W25" i="3"/>
  <c r="T24" i="3"/>
  <c r="AG23" i="3"/>
  <c r="V22" i="3"/>
  <c r="N22" i="3"/>
  <c r="O22" i="3" s="1"/>
  <c r="AA21" i="3"/>
  <c r="X20" i="3"/>
  <c r="P20" i="3" s="1"/>
  <c r="U19" i="3"/>
  <c r="AG19" i="3" s="1"/>
  <c r="W17" i="3"/>
  <c r="T16" i="3"/>
  <c r="V14" i="3"/>
  <c r="N14" i="3"/>
  <c r="O14" i="3" s="1"/>
  <c r="AA13" i="3"/>
  <c r="X12" i="3"/>
  <c r="P12" i="3" s="1"/>
  <c r="K22" i="3"/>
  <c r="K14" i="3"/>
  <c r="V25" i="3"/>
  <c r="N25" i="3"/>
  <c r="O25" i="3" s="1"/>
  <c r="AA24" i="3"/>
  <c r="S24" i="3"/>
  <c r="X23" i="3"/>
  <c r="P23" i="3" s="1"/>
  <c r="W20" i="3"/>
  <c r="T19" i="3"/>
  <c r="V17" i="3"/>
  <c r="N17" i="3"/>
  <c r="O17" i="3" s="1"/>
  <c r="X15" i="3"/>
  <c r="P15" i="3" s="1"/>
  <c r="W12" i="3"/>
  <c r="T11" i="3"/>
  <c r="AG10" i="3"/>
  <c r="K16" i="3"/>
  <c r="V19" i="3"/>
  <c r="W14" i="3"/>
  <c r="AA10" i="3"/>
  <c r="K21" i="3"/>
  <c r="K13" i="3"/>
  <c r="W23" i="3"/>
  <c r="V20" i="3"/>
  <c r="N20" i="3"/>
  <c r="O20" i="3" s="1"/>
  <c r="S20" i="3" s="1"/>
  <c r="X18" i="3"/>
  <c r="P18" i="3" s="1"/>
  <c r="W15" i="3"/>
  <c r="V12" i="3"/>
  <c r="N12" i="3"/>
  <c r="O12" i="3" s="1"/>
  <c r="S12" i="3" s="1"/>
  <c r="AA11" i="3"/>
  <c r="AB11" i="3" s="1"/>
  <c r="AD11" i="3" s="1"/>
  <c r="X10" i="3"/>
  <c r="P10" i="3" s="1"/>
  <c r="N19" i="3"/>
  <c r="O19" i="3" s="1"/>
  <c r="AG12" i="3"/>
  <c r="K20" i="3"/>
  <c r="K12" i="3"/>
  <c r="AG24" i="3"/>
  <c r="V23" i="3"/>
  <c r="W18" i="3"/>
  <c r="N15" i="3"/>
  <c r="O15" i="3" s="1"/>
  <c r="S15" i="3" s="1"/>
  <c r="AA14" i="3"/>
  <c r="X13" i="3"/>
  <c r="P13" i="3" s="1"/>
  <c r="W10" i="3"/>
  <c r="K11" i="3"/>
  <c r="W21" i="3"/>
  <c r="T20" i="3"/>
  <c r="V18" i="3"/>
  <c r="W13" i="3"/>
  <c r="T12" i="3"/>
  <c r="V10" i="3"/>
  <c r="K24" i="3"/>
  <c r="V21" i="3"/>
  <c r="P14" i="32"/>
  <c r="G14" i="32"/>
  <c r="F14" i="32"/>
  <c r="E14" i="32"/>
  <c r="D14" i="32"/>
  <c r="C14" i="32"/>
  <c r="B14" i="32"/>
  <c r="D11" i="32"/>
  <c r="E11" i="32" s="1"/>
  <c r="D9" i="32"/>
  <c r="E9" i="32" s="1"/>
  <c r="S9" i="32"/>
  <c r="P7" i="32"/>
  <c r="P8" i="32" s="1"/>
  <c r="D7" i="32"/>
  <c r="E7" i="32" s="1"/>
  <c r="D6" i="32"/>
  <c r="E6" i="32" s="1"/>
  <c r="V5" i="32"/>
  <c r="V4" i="32"/>
  <c r="C4" i="32"/>
  <c r="B2" i="32"/>
  <c r="Q23" i="3" l="1"/>
  <c r="K11" i="4"/>
  <c r="N11" i="4" s="1"/>
  <c r="S13" i="3"/>
  <c r="M11" i="4"/>
  <c r="AE12" i="3"/>
  <c r="R13" i="3"/>
  <c r="S23" i="3"/>
  <c r="AH10" i="4"/>
  <c r="AR10" i="4"/>
  <c r="AC10" i="4"/>
  <c r="T10" i="4"/>
  <c r="AF10" i="4" s="1"/>
  <c r="AG10" i="4" s="1"/>
  <c r="AI10" i="4" s="1"/>
  <c r="AM10" i="4"/>
  <c r="P10" i="4"/>
  <c r="X10" i="4"/>
  <c r="S10" i="4"/>
  <c r="R10" i="4"/>
  <c r="Q10" i="4"/>
  <c r="V10" i="4" s="1"/>
  <c r="W10" i="4" s="1"/>
  <c r="Y10" i="4" s="1"/>
  <c r="R12" i="4"/>
  <c r="AP12" i="4" s="1"/>
  <c r="AQ12" i="4" s="1"/>
  <c r="Q12" i="4"/>
  <c r="AH12" i="4"/>
  <c r="X12" i="4"/>
  <c r="AR12" i="4"/>
  <c r="AC12" i="4"/>
  <c r="P12" i="4"/>
  <c r="AM12" i="4"/>
  <c r="T12" i="4"/>
  <c r="AF12" i="4" s="1"/>
  <c r="AG12" i="4" s="1"/>
  <c r="AI12" i="4" s="1"/>
  <c r="S12" i="4"/>
  <c r="S21" i="3"/>
  <c r="AA19" i="3"/>
  <c r="AB19" i="3" s="1"/>
  <c r="AD19" i="3" s="1"/>
  <c r="M13" i="5"/>
  <c r="R10" i="3"/>
  <c r="S10" i="3"/>
  <c r="S18" i="3"/>
  <c r="S13" i="4"/>
  <c r="R18" i="3"/>
  <c r="M14" i="4"/>
  <c r="N14" i="32"/>
  <c r="M14" i="32"/>
  <c r="L14" i="32"/>
  <c r="K14" i="32"/>
  <c r="AE23" i="3"/>
  <c r="K14" i="4"/>
  <c r="N14" i="4" s="1"/>
  <c r="S14" i="4" s="1"/>
  <c r="AA17" i="3"/>
  <c r="AB17" i="3" s="1"/>
  <c r="AA15" i="3"/>
  <c r="AB15" i="3" s="1"/>
  <c r="AD15" i="3" s="1"/>
  <c r="AA18" i="3"/>
  <c r="M14" i="5"/>
  <c r="AA16" i="3"/>
  <c r="AB16" i="3" s="1"/>
  <c r="T11" i="4"/>
  <c r="AF11" i="4" s="1"/>
  <c r="AG11" i="4" s="1"/>
  <c r="AR11" i="4"/>
  <c r="AC11" i="4"/>
  <c r="P11" i="4"/>
  <c r="X11" i="4"/>
  <c r="Q11" i="4"/>
  <c r="V11" i="4" s="1"/>
  <c r="W11" i="4" s="1"/>
  <c r="AM11" i="4"/>
  <c r="AH11" i="4"/>
  <c r="S11" i="4"/>
  <c r="R11" i="4"/>
  <c r="AA12" i="4"/>
  <c r="AB12" i="4" s="1"/>
  <c r="AA10" i="4"/>
  <c r="AB10" i="4" s="1"/>
  <c r="AK10" i="4"/>
  <c r="AL10" i="4" s="1"/>
  <c r="P13" i="4"/>
  <c r="X13" i="4"/>
  <c r="Q13" i="4"/>
  <c r="V13" i="4" s="1"/>
  <c r="W13" i="4" s="1"/>
  <c r="AH13" i="4"/>
  <c r="T13" i="4"/>
  <c r="AF13" i="4" s="1"/>
  <c r="AG13" i="4" s="1"/>
  <c r="AR13" i="4"/>
  <c r="AM13" i="4"/>
  <c r="AC13" i="4"/>
  <c r="AA13" i="4"/>
  <c r="AB13" i="4" s="1"/>
  <c r="Z10" i="4"/>
  <c r="AA22" i="3"/>
  <c r="AE22" i="3" s="1"/>
  <c r="R21" i="3"/>
  <c r="AF23" i="3"/>
  <c r="AD20" i="3"/>
  <c r="AF20" i="3"/>
  <c r="R12" i="3"/>
  <c r="Q12" i="3"/>
  <c r="AF11" i="3"/>
  <c r="AB14" i="3"/>
  <c r="AE14" i="3"/>
  <c r="AE13" i="3"/>
  <c r="AB13" i="3"/>
  <c r="AB21" i="3"/>
  <c r="AE21" i="3"/>
  <c r="Q11" i="3"/>
  <c r="R11" i="3"/>
  <c r="Q14" i="3"/>
  <c r="R14" i="3"/>
  <c r="S14" i="3"/>
  <c r="Q16" i="3"/>
  <c r="R16" i="3"/>
  <c r="Q24" i="3"/>
  <c r="R24" i="3"/>
  <c r="AD12" i="3"/>
  <c r="AF12" i="3"/>
  <c r="AE10" i="3"/>
  <c r="AB10" i="3"/>
  <c r="Q22" i="3"/>
  <c r="R22" i="3"/>
  <c r="S22" i="3"/>
  <c r="Q19" i="3"/>
  <c r="R19" i="3"/>
  <c r="S19" i="3"/>
  <c r="AB24" i="3"/>
  <c r="AE24" i="3"/>
  <c r="R17" i="3"/>
  <c r="S17" i="3"/>
  <c r="Q17" i="3"/>
  <c r="R25" i="3"/>
  <c r="S25" i="3"/>
  <c r="Q25" i="3"/>
  <c r="AE11" i="3"/>
  <c r="AE18" i="3"/>
  <c r="AB18" i="3"/>
  <c r="AB25" i="3"/>
  <c r="AE25" i="3"/>
  <c r="R15" i="3"/>
  <c r="Q15" i="3"/>
  <c r="S11" i="3"/>
  <c r="R20" i="3"/>
  <c r="Q20" i="3"/>
  <c r="AE19" i="3"/>
  <c r="H15" i="32"/>
  <c r="H16" i="32"/>
  <c r="H14" i="32"/>
  <c r="H17" i="32"/>
  <c r="H18" i="32"/>
  <c r="T14" i="32"/>
  <c r="O14" i="32"/>
  <c r="F11" i="32"/>
  <c r="I14" i="32"/>
  <c r="AE16" i="3" l="1"/>
  <c r="V12" i="4"/>
  <c r="W12" i="4" s="1"/>
  <c r="Y12" i="4" s="1"/>
  <c r="AJ10" i="4"/>
  <c r="Z12" i="4"/>
  <c r="AK12" i="4"/>
  <c r="AL12" i="4" s="1"/>
  <c r="AP10" i="4"/>
  <c r="AQ10" i="4" s="1"/>
  <c r="AF19" i="3"/>
  <c r="AJ12" i="4"/>
  <c r="AF15" i="3"/>
  <c r="AM14" i="4"/>
  <c r="AH14" i="4"/>
  <c r="AE15" i="3"/>
  <c r="AB22" i="3"/>
  <c r="AK13" i="4"/>
  <c r="AL13" i="4" s="1"/>
  <c r="AP13" i="4"/>
  <c r="AQ13" i="4" s="1"/>
  <c r="X14" i="4"/>
  <c r="AC14" i="4"/>
  <c r="T14" i="4"/>
  <c r="AF14" i="4" s="1"/>
  <c r="AG14" i="4" s="1"/>
  <c r="AI14" i="4" s="1"/>
  <c r="AR14" i="4"/>
  <c r="P14" i="4"/>
  <c r="AE17" i="3"/>
  <c r="R14" i="4"/>
  <c r="AK14" i="4" s="1"/>
  <c r="AL14" i="4" s="1"/>
  <c r="AO14" i="4" s="1"/>
  <c r="Q14" i="4"/>
  <c r="V14" i="4" s="1"/>
  <c r="W14" i="4" s="1"/>
  <c r="Z14" i="4" s="1"/>
  <c r="AA14" i="4"/>
  <c r="AB14" i="4" s="1"/>
  <c r="AD14" i="4" s="1"/>
  <c r="AP14" i="4"/>
  <c r="AQ14" i="4" s="1"/>
  <c r="AS14" i="4" s="1"/>
  <c r="AN10" i="4"/>
  <c r="AO10" i="4"/>
  <c r="Y11" i="4"/>
  <c r="Z11" i="4"/>
  <c r="AD13" i="4"/>
  <c r="AE13" i="4"/>
  <c r="AD12" i="4"/>
  <c r="AE12" i="4"/>
  <c r="AT12" i="4"/>
  <c r="AS12" i="4"/>
  <c r="Y13" i="4"/>
  <c r="Z13" i="4"/>
  <c r="AE10" i="4"/>
  <c r="AD10" i="4"/>
  <c r="AK11" i="4"/>
  <c r="AL11" i="4" s="1"/>
  <c r="AA11" i="4"/>
  <c r="AB11" i="4" s="1"/>
  <c r="AP11" i="4"/>
  <c r="AQ11" i="4" s="1"/>
  <c r="AJ11" i="4"/>
  <c r="AI11" i="4"/>
  <c r="AI13" i="4"/>
  <c r="AJ13" i="4"/>
  <c r="AN14" i="4"/>
  <c r="AF24" i="3"/>
  <c r="AD24" i="3"/>
  <c r="AD13" i="3"/>
  <c r="AF13" i="3"/>
  <c r="AF25" i="3"/>
  <c r="AD25" i="3"/>
  <c r="AF16" i="3"/>
  <c r="AD16" i="3"/>
  <c r="AD10" i="3"/>
  <c r="AF10" i="3"/>
  <c r="AD14" i="3"/>
  <c r="AF14" i="3"/>
  <c r="AD22" i="3"/>
  <c r="AF22" i="3"/>
  <c r="AD18" i="3"/>
  <c r="AF18" i="3"/>
  <c r="AF17" i="3"/>
  <c r="AD17" i="3"/>
  <c r="AD21" i="3"/>
  <c r="AF21" i="3"/>
  <c r="AK17" i="9"/>
  <c r="AK19" i="9"/>
  <c r="AK12" i="9"/>
  <c r="AK11" i="9"/>
  <c r="Q14" i="32"/>
  <c r="R14" i="32" s="1"/>
  <c r="S14" i="32" s="1"/>
  <c r="V14" i="32" s="1"/>
  <c r="AT10" i="4" l="1"/>
  <c r="AS10" i="4"/>
  <c r="AN12" i="4"/>
  <c r="AO12" i="4"/>
  <c r="AS13" i="4"/>
  <c r="AT13" i="4"/>
  <c r="AN13" i="4"/>
  <c r="AO13" i="4"/>
  <c r="W14" i="32"/>
  <c r="U14" i="32"/>
  <c r="X14" i="32"/>
  <c r="AJ14" i="4"/>
  <c r="AE14" i="4"/>
  <c r="Y14" i="4"/>
  <c r="AT14" i="4"/>
  <c r="AS11" i="4"/>
  <c r="AT11" i="4"/>
  <c r="AD11" i="4"/>
  <c r="AE11" i="4"/>
  <c r="AN11" i="4"/>
  <c r="AO11" i="4"/>
  <c r="AK20" i="9"/>
  <c r="AK16" i="9"/>
  <c r="AK14" i="9"/>
  <c r="AK7" i="9"/>
  <c r="AK6" i="9"/>
  <c r="AK15" i="9"/>
  <c r="AK18" i="9"/>
  <c r="AK13" i="9"/>
  <c r="AK21" i="9"/>
  <c r="AK10" i="9"/>
  <c r="AB10" i="9"/>
  <c r="AB9" i="9"/>
  <c r="AB7" i="9"/>
  <c r="O9" i="9"/>
  <c r="O8" i="9"/>
  <c r="O6" i="9"/>
  <c r="AK9" i="9"/>
  <c r="AB6" i="9"/>
  <c r="AK8" i="9"/>
  <c r="AB8" i="9"/>
  <c r="O7" i="9"/>
  <c r="O10" i="9"/>
  <c r="Y14" i="32"/>
  <c r="Z14" i="32" l="1"/>
  <c r="P14" i="31"/>
  <c r="Q14" i="31" s="1"/>
  <c r="AC14" i="32" l="1"/>
  <c r="AB5" i="9" s="1"/>
  <c r="AA14" i="32"/>
  <c r="AK5" i="9" s="1"/>
  <c r="AB14" i="32"/>
  <c r="O5" i="9"/>
  <c r="G14" i="31"/>
  <c r="F14" i="31"/>
  <c r="E14" i="31"/>
  <c r="D14" i="31"/>
  <c r="C14" i="31"/>
  <c r="B14" i="31"/>
  <c r="P7" i="31"/>
  <c r="P8" i="31" s="1"/>
  <c r="K14" i="31" l="1"/>
  <c r="M14" i="31"/>
  <c r="L14" i="31"/>
  <c r="N14" i="31"/>
  <c r="O14" i="31" s="1"/>
  <c r="R14" i="31" s="1"/>
  <c r="I14" i="31"/>
  <c r="D11" i="31" l="1"/>
  <c r="E11" i="31" s="1"/>
  <c r="D9" i="31"/>
  <c r="E9" i="31" s="1"/>
  <c r="D7" i="31"/>
  <c r="E7" i="31" s="1"/>
  <c r="D6" i="31"/>
  <c r="E6" i="31" s="1"/>
  <c r="C4" i="31"/>
  <c r="B2" i="31"/>
  <c r="U14" i="31" l="1"/>
  <c r="T14" i="31"/>
  <c r="W14" i="31"/>
  <c r="S14" i="31"/>
  <c r="V14" i="31" s="1"/>
  <c r="F11" i="31"/>
  <c r="AJ22" i="9" l="1"/>
  <c r="N22" i="9"/>
  <c r="AJ17" i="9"/>
  <c r="N17" i="9"/>
  <c r="AJ7" i="9"/>
  <c r="N7" i="9"/>
  <c r="AA16" i="9"/>
  <c r="AJ19" i="9"/>
  <c r="N19" i="9"/>
  <c r="AA24" i="9"/>
  <c r="AJ8" i="9"/>
  <c r="N8" i="9"/>
  <c r="AA11" i="9"/>
  <c r="AJ20" i="9"/>
  <c r="N20" i="9"/>
  <c r="AA21" i="9"/>
  <c r="AJ9" i="9"/>
  <c r="N9" i="9"/>
  <c r="AA6" i="9"/>
  <c r="AA20" i="9"/>
  <c r="AA9" i="9"/>
  <c r="AA19" i="9"/>
  <c r="AA13" i="9"/>
  <c r="AA10" i="9"/>
  <c r="AA8" i="9"/>
  <c r="AA22" i="9"/>
  <c r="AA14" i="9"/>
  <c r="AA17" i="9"/>
  <c r="AA7" i="9"/>
  <c r="AA18" i="9"/>
  <c r="AA15" i="9"/>
  <c r="AA12" i="9"/>
  <c r="AA23" i="9"/>
  <c r="X14" i="31"/>
  <c r="B15" i="19"/>
  <c r="C15" i="19"/>
  <c r="D15" i="19"/>
  <c r="E15" i="19"/>
  <c r="F15" i="19"/>
  <c r="G15" i="19"/>
  <c r="H15" i="19"/>
  <c r="I15" i="19"/>
  <c r="M15" i="19" s="1"/>
  <c r="J15" i="19"/>
  <c r="B16" i="19"/>
  <c r="C16" i="19"/>
  <c r="D16" i="19"/>
  <c r="T16" i="19" s="1"/>
  <c r="E16" i="19"/>
  <c r="F16" i="19"/>
  <c r="G16" i="19"/>
  <c r="H16" i="19"/>
  <c r="I16" i="19"/>
  <c r="J16" i="19"/>
  <c r="Q16" i="19"/>
  <c r="B17" i="19"/>
  <c r="C17" i="19"/>
  <c r="D17" i="19"/>
  <c r="E17" i="19"/>
  <c r="F17" i="19"/>
  <c r="G17" i="19"/>
  <c r="H17" i="19"/>
  <c r="I17" i="19"/>
  <c r="M17" i="19" s="1"/>
  <c r="J17" i="19"/>
  <c r="L14" i="3"/>
  <c r="J14" i="3"/>
  <c r="AJ12" i="9" l="1"/>
  <c r="N12" i="9"/>
  <c r="AJ23" i="9"/>
  <c r="N23" i="9"/>
  <c r="AJ15" i="9"/>
  <c r="N15" i="9"/>
  <c r="AJ18" i="9"/>
  <c r="N18" i="9"/>
  <c r="AJ13" i="9"/>
  <c r="N13" i="9"/>
  <c r="AJ10" i="9"/>
  <c r="N10" i="9"/>
  <c r="AJ6" i="9"/>
  <c r="N6" i="9"/>
  <c r="AJ21" i="9"/>
  <c r="N21" i="9"/>
  <c r="AJ11" i="9"/>
  <c r="N11" i="9"/>
  <c r="AJ24" i="9"/>
  <c r="N24" i="9"/>
  <c r="AJ16" i="9"/>
  <c r="N16" i="9"/>
  <c r="AJ14" i="9"/>
  <c r="N14" i="9"/>
  <c r="Y14" i="31"/>
  <c r="Q17" i="19"/>
  <c r="T17" i="19"/>
  <c r="T15" i="19"/>
  <c r="M16" i="19"/>
  <c r="Q15" i="19"/>
  <c r="Q7" i="28"/>
  <c r="P7" i="28"/>
  <c r="AB14" i="31" l="1"/>
  <c r="AA5" i="9" s="1"/>
  <c r="Z14" i="3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O14" i="25" s="1"/>
  <c r="R14" i="25" s="1"/>
  <c r="L15" i="25"/>
  <c r="S15" i="25" s="1"/>
  <c r="K15" i="6"/>
  <c r="T15" i="6" s="1"/>
  <c r="L13" i="25"/>
  <c r="P13" i="25" s="1"/>
  <c r="T14" i="6"/>
  <c r="J17" i="6"/>
  <c r="K17" i="6" s="1"/>
  <c r="T17" i="6" s="1"/>
  <c r="K16" i="6"/>
  <c r="T16" i="6" s="1"/>
  <c r="J15" i="25"/>
  <c r="J14" i="25"/>
  <c r="J13" i="25"/>
  <c r="J12" i="25"/>
  <c r="L12" i="25"/>
  <c r="O12" i="25" s="1"/>
  <c r="R12" i="25" s="1"/>
  <c r="S14" i="25"/>
  <c r="P14" i="25"/>
  <c r="S13" i="25" l="1"/>
  <c r="O13" i="25"/>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M14" i="30" l="1"/>
  <c r="AI10" i="9"/>
  <c r="AQ10" i="9"/>
  <c r="M10" i="9"/>
  <c r="L14" i="30"/>
  <c r="K14" i="30"/>
  <c r="J14" i="30"/>
  <c r="F11" i="30"/>
  <c r="O14" i="30"/>
  <c r="N14" i="30" l="1"/>
  <c r="Z10" i="9"/>
  <c r="Z6" i="9"/>
  <c r="AI9" i="9"/>
  <c r="AQ9" i="9"/>
  <c r="Z9" i="9"/>
  <c r="AQ8" i="9"/>
  <c r="AI8" i="9"/>
  <c r="AQ6" i="9"/>
  <c r="AI6" i="9"/>
  <c r="AQ7" i="9"/>
  <c r="AI7" i="9"/>
  <c r="Z7" i="9"/>
  <c r="Z8" i="9"/>
  <c r="M8" i="9"/>
  <c r="M6" i="9"/>
  <c r="M7" i="9"/>
  <c r="M9" i="9"/>
  <c r="P14" i="30"/>
  <c r="R14" i="30" s="1"/>
  <c r="Q14" i="30"/>
  <c r="M5" i="9" l="1"/>
  <c r="S14" i="30"/>
  <c r="AQ5" i="9" s="1"/>
  <c r="T14" i="30"/>
  <c r="Z5" i="9" s="1"/>
  <c r="AI5" i="9"/>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A14" i="32" l="1"/>
  <c r="A14" i="31"/>
  <c r="A16" i="30"/>
  <c r="A16" i="8"/>
  <c r="A16" i="32"/>
  <c r="A11" i="4"/>
  <c r="A11" i="3"/>
  <c r="A11" i="5"/>
  <c r="A37" i="28"/>
  <c r="J16" i="32"/>
  <c r="I16" i="30"/>
  <c r="I16" i="8"/>
  <c r="H11" i="5"/>
  <c r="H11" i="3"/>
  <c r="H37" i="28"/>
  <c r="H11" i="4"/>
  <c r="H9" i="3"/>
  <c r="J14" i="32"/>
  <c r="J14" i="31"/>
  <c r="J18" i="32"/>
  <c r="I18" i="30"/>
  <c r="I18" i="8"/>
  <c r="H39" i="28"/>
  <c r="H13" i="3"/>
  <c r="H13" i="5"/>
  <c r="H13" i="4"/>
  <c r="A15" i="30"/>
  <c r="A15" i="32"/>
  <c r="A15" i="8"/>
  <c r="A36" i="28"/>
  <c r="A10" i="4"/>
  <c r="A10" i="3"/>
  <c r="A10" i="5"/>
  <c r="A18" i="32"/>
  <c r="A18" i="8"/>
  <c r="A18" i="30"/>
  <c r="A13" i="5"/>
  <c r="A13" i="4"/>
  <c r="A39" i="28"/>
  <c r="A13" i="3"/>
  <c r="J17" i="32"/>
  <c r="I17" i="30"/>
  <c r="I17" i="8"/>
  <c r="H38" i="28"/>
  <c r="H12" i="5"/>
  <c r="H12" i="3"/>
  <c r="H12" i="4"/>
  <c r="A17" i="8"/>
  <c r="A17" i="30"/>
  <c r="A17" i="32"/>
  <c r="A12" i="4"/>
  <c r="A12" i="5"/>
  <c r="A12" i="3"/>
  <c r="A38" i="28"/>
  <c r="I15" i="8"/>
  <c r="J15" i="32"/>
  <c r="I15" i="30"/>
  <c r="H10" i="3"/>
  <c r="H10" i="5"/>
  <c r="H10" i="4"/>
  <c r="H36" i="28"/>
  <c r="H14" i="5"/>
  <c r="H40" i="28"/>
  <c r="H14" i="3"/>
  <c r="H14" i="4"/>
  <c r="A40" i="28"/>
  <c r="A14" i="3"/>
  <c r="A14" i="5"/>
  <c r="A14" i="4"/>
  <c r="H15" i="3"/>
  <c r="H20" i="3"/>
  <c r="A19" i="3"/>
  <c r="H19" i="3"/>
  <c r="A18" i="3"/>
  <c r="H18" i="3"/>
  <c r="A25" i="3"/>
  <c r="A17" i="3"/>
  <c r="H25" i="3"/>
  <c r="H17" i="3"/>
  <c r="A24" i="3"/>
  <c r="A16" i="3"/>
  <c r="H24" i="3"/>
  <c r="H16" i="3"/>
  <c r="A23" i="3"/>
  <c r="A15" i="3"/>
  <c r="H23" i="3"/>
  <c r="A22" i="3"/>
  <c r="H22" i="3"/>
  <c r="A21" i="3"/>
  <c r="H21" i="3"/>
  <c r="A20" i="3"/>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M14" i="8" s="1"/>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N14" i="8"/>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X10" i="9" l="1"/>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S15" i="19" s="1"/>
  <c r="AG9" i="9"/>
  <c r="AG6" i="9"/>
  <c r="Y6" i="9"/>
  <c r="S8" i="9"/>
  <c r="AG13" i="9"/>
  <c r="K12" i="9"/>
  <c r="X12" i="9"/>
  <c r="J13" i="9"/>
  <c r="W13" i="9"/>
  <c r="S9" i="9"/>
  <c r="AH8" i="9"/>
  <c r="L8" i="9"/>
  <c r="J9" i="9"/>
  <c r="L7" i="9"/>
  <c r="U8" i="9"/>
  <c r="L6" i="9"/>
  <c r="U6" i="9"/>
  <c r="T16" i="2"/>
  <c r="S17" i="2"/>
  <c r="Q6" i="9"/>
  <c r="S6" i="9"/>
  <c r="AE14" i="19"/>
  <c r="W14" i="19"/>
  <c r="N15" i="19" s="1"/>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W15" i="19" l="1"/>
  <c r="AE15" i="19"/>
  <c r="Y15" i="19"/>
  <c r="AG15" i="19"/>
  <c r="AH15" i="19" s="1"/>
  <c r="AF15" i="19" s="1"/>
  <c r="Z15" i="19"/>
  <c r="O16" i="19"/>
  <c r="U16" i="19"/>
  <c r="V16" i="19" s="1"/>
  <c r="AC16" i="19"/>
  <c r="AD16" i="19" s="1"/>
  <c r="P15" i="19"/>
  <c r="S16" i="19" s="1"/>
  <c r="T9" i="4"/>
  <c r="AF9" i="4" s="1"/>
  <c r="AG9" i="4" s="1"/>
  <c r="S5" i="9" s="1"/>
  <c r="AM9" i="4"/>
  <c r="AR9" i="4"/>
  <c r="S9" i="4"/>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AD10" i="9"/>
  <c r="R10" i="9"/>
  <c r="AK9" i="4"/>
  <c r="R9" i="9"/>
  <c r="R8" i="9"/>
  <c r="R6" i="9"/>
  <c r="AM6" i="9"/>
  <c r="AI14" i="19"/>
  <c r="AJ14" i="19" s="1"/>
  <c r="K13" i="9"/>
  <c r="X13" i="9"/>
  <c r="AF13" i="9"/>
  <c r="AO13" i="9"/>
  <c r="K8" i="9"/>
  <c r="X9" i="9"/>
  <c r="K9" i="9"/>
  <c r="AF9" i="9"/>
  <c r="K7" i="9"/>
  <c r="AO7" i="9"/>
  <c r="S18" i="2"/>
  <c r="T17" i="2"/>
  <c r="L14" i="19"/>
  <c r="X14" i="19"/>
  <c r="AF5" i="9"/>
  <c r="AA14" i="19"/>
  <c r="X6" i="9"/>
  <c r="K6" i="9"/>
  <c r="K11" i="9"/>
  <c r="X11" i="9"/>
  <c r="AO10" i="9"/>
  <c r="V12" i="16"/>
  <c r="AF10" i="9"/>
  <c r="AO5" i="9"/>
  <c r="W10" i="16" l="1"/>
  <c r="W11" i="16" s="1"/>
  <c r="X9" i="16"/>
  <c r="N15" i="2" s="1"/>
  <c r="K17" i="19" s="1"/>
  <c r="AA9" i="4"/>
  <c r="X10" i="16"/>
  <c r="N16" i="2" s="1"/>
  <c r="AA15" i="19"/>
  <c r="AB15" i="19" s="1"/>
  <c r="AP9" i="4"/>
  <c r="W16" i="19"/>
  <c r="AE16" i="19"/>
  <c r="AG16" i="19"/>
  <c r="AH16" i="19" s="1"/>
  <c r="AF16" i="19" s="1"/>
  <c r="Y16" i="19"/>
  <c r="Z16" i="19"/>
  <c r="U17" i="19"/>
  <c r="V17" i="19" s="1"/>
  <c r="AI15" i="19"/>
  <c r="AJ15" i="19" s="1"/>
  <c r="AC17" i="19"/>
  <c r="AD17" i="19" s="1"/>
  <c r="P16" i="19"/>
  <c r="S17" i="19" s="1"/>
  <c r="P17" i="19" s="1"/>
  <c r="L15" i="19"/>
  <c r="X15" i="19"/>
  <c r="N16" i="19"/>
  <c r="Q5" i="9"/>
  <c r="Z9" i="4"/>
  <c r="AC5" i="9" s="1"/>
  <c r="AJ9" i="4"/>
  <c r="AE5" i="9" s="1"/>
  <c r="AB9" i="4"/>
  <c r="R5" i="9" s="1"/>
  <c r="AQ9" i="4"/>
  <c r="AS9" i="4" s="1"/>
  <c r="AI9" i="4"/>
  <c r="AN5" i="9" s="1"/>
  <c r="AL9" i="4"/>
  <c r="AN9" i="4" s="1"/>
  <c r="S19" i="2"/>
  <c r="T18" i="2"/>
  <c r="W12" i="16"/>
  <c r="V13" i="16"/>
  <c r="P5" i="9"/>
  <c r="AB14" i="19"/>
  <c r="X11" i="16" l="1"/>
  <c r="AA16" i="19"/>
  <c r="AB16" i="19" s="1"/>
  <c r="AI16" i="19"/>
  <c r="AJ16" i="19" s="1"/>
  <c r="AG17" i="19"/>
  <c r="AH17" i="19" s="1"/>
  <c r="AF17" i="19" s="1"/>
  <c r="L16" i="19"/>
  <c r="X16" i="19"/>
  <c r="Y17" i="19"/>
  <c r="AE17" i="19"/>
  <c r="W17" i="19"/>
  <c r="Z17" i="19"/>
  <c r="AA17" i="19" s="1"/>
  <c r="AB17" i="19" s="1"/>
  <c r="N17" i="19"/>
  <c r="O17" i="19" s="1"/>
  <c r="AT9" i="4"/>
  <c r="AO9" i="4"/>
  <c r="AE9" i="4"/>
  <c r="AD5" i="9" s="1"/>
  <c r="AD9" i="4"/>
  <c r="AM5" i="9" s="1"/>
  <c r="P6" i="9"/>
  <c r="T19" i="2"/>
  <c r="S20" i="2"/>
  <c r="V14" i="16"/>
  <c r="W13" i="16"/>
  <c r="X12" i="16" l="1"/>
  <c r="N18" i="2" s="1"/>
  <c r="N17" i="2"/>
  <c r="L17" i="19"/>
  <c r="X17" i="19"/>
  <c r="AI17" i="19"/>
  <c r="AJ17" i="19" s="1"/>
  <c r="P7" i="9"/>
  <c r="S21" i="2"/>
  <c r="T21" i="2" s="1"/>
  <c r="T20" i="2"/>
  <c r="W14" i="16"/>
  <c r="V15" i="16"/>
  <c r="X13" i="16" l="1"/>
  <c r="W15" i="16"/>
  <c r="V16" i="16"/>
  <c r="N19" i="2" l="1"/>
  <c r="X14" i="16"/>
  <c r="P8" i="9"/>
  <c r="W16" i="16"/>
  <c r="V17" i="16"/>
  <c r="X15" i="16" l="1"/>
  <c r="N20" i="2"/>
  <c r="P9" i="9"/>
  <c r="P10" i="9"/>
  <c r="W17" i="16"/>
  <c r="V18" i="16"/>
  <c r="N21" i="2" l="1"/>
  <c r="X16" i="16"/>
  <c r="P11" i="9"/>
  <c r="W18" i="16"/>
  <c r="V19" i="16"/>
  <c r="X17" i="16" l="1"/>
  <c r="N22" i="2"/>
  <c r="P12" i="9"/>
  <c r="W19" i="16"/>
  <c r="V20" i="16"/>
  <c r="N23" i="2" l="1"/>
  <c r="X18" i="16"/>
  <c r="P13" i="9"/>
  <c r="W20" i="16"/>
  <c r="V21" i="16"/>
  <c r="X19" i="16" l="1"/>
  <c r="N24" i="2"/>
  <c r="P14" i="9"/>
  <c r="W21" i="16"/>
  <c r="V22" i="16"/>
  <c r="N25" i="2" l="1"/>
  <c r="X20" i="16"/>
  <c r="P15" i="9"/>
  <c r="V23" i="16"/>
  <c r="W22" i="16"/>
  <c r="N26" i="2" l="1"/>
  <c r="X21" i="16"/>
  <c r="P16" i="9"/>
  <c r="W23" i="16"/>
  <c r="V24" i="16"/>
  <c r="N27" i="2" l="1"/>
  <c r="X22" i="16"/>
  <c r="P17" i="9"/>
  <c r="W24" i="16"/>
  <c r="V25" i="16"/>
  <c r="X23" i="16" l="1"/>
  <c r="N28" i="2"/>
  <c r="P18" i="9"/>
  <c r="W25" i="16"/>
  <c r="V26" i="16"/>
  <c r="N29" i="2" l="1"/>
  <c r="X24" i="16"/>
  <c r="P19" i="9"/>
  <c r="W26" i="16"/>
  <c r="V27" i="16"/>
  <c r="N30" i="2" l="1"/>
  <c r="X25" i="16"/>
  <c r="P20" i="9"/>
  <c r="W27" i="16"/>
  <c r="V28" i="16"/>
  <c r="X26" i="16" l="1"/>
  <c r="N31" i="2"/>
  <c r="P21" i="9"/>
  <c r="W28" i="16"/>
  <c r="V29" i="16"/>
  <c r="N32" i="2" l="1"/>
  <c r="X27" i="16"/>
  <c r="P22" i="9"/>
  <c r="W29" i="16"/>
  <c r="V30" i="16"/>
  <c r="X28" i="16" l="1"/>
  <c r="N33" i="2"/>
  <c r="V31" i="16"/>
  <c r="W30" i="16"/>
  <c r="X29" i="16" l="1"/>
  <c r="N34" i="2"/>
  <c r="W31" i="16"/>
  <c r="V32" i="16"/>
  <c r="X30" i="16" l="1"/>
  <c r="N35" i="2"/>
  <c r="W32" i="16"/>
  <c r="V33" i="16"/>
  <c r="X31" i="16" l="1"/>
  <c r="N36" i="2"/>
  <c r="W33" i="16"/>
  <c r="V34" i="16"/>
  <c r="X32" i="16" l="1"/>
  <c r="N37" i="2"/>
  <c r="W34" i="16"/>
  <c r="V35" i="16"/>
  <c r="N38" i="2" l="1"/>
  <c r="X33" i="16"/>
  <c r="N39" i="2" s="1"/>
  <c r="W35" i="16"/>
  <c r="V36" i="16"/>
  <c r="X34" i="16" l="1"/>
  <c r="W36" i="16"/>
  <c r="V37" i="16"/>
  <c r="N40" i="2" l="1"/>
  <c r="X35" i="16"/>
  <c r="W37" i="16"/>
  <c r="V38" i="16"/>
  <c r="N41" i="2" l="1"/>
  <c r="X36" i="16"/>
  <c r="W38" i="16"/>
  <c r="V39" i="16"/>
  <c r="N42" i="2" l="1"/>
  <c r="X37" i="16"/>
  <c r="W39" i="16"/>
  <c r="V40" i="16"/>
  <c r="N43" i="2" l="1"/>
  <c r="X38" i="16"/>
  <c r="V41" i="16"/>
  <c r="W40" i="16"/>
  <c r="X39" i="16" l="1"/>
  <c r="N44" i="2"/>
  <c r="W41" i="16"/>
  <c r="V42" i="16"/>
  <c r="N45" i="2" l="1"/>
  <c r="X40" i="16"/>
  <c r="W42" i="16"/>
  <c r="V43" i="16"/>
  <c r="X41" i="16" l="1"/>
  <c r="N46" i="2"/>
  <c r="V44" i="16"/>
  <c r="W43" i="16"/>
  <c r="X42" i="16" l="1"/>
  <c r="N47" i="2"/>
  <c r="W44" i="16"/>
  <c r="V45" i="16"/>
  <c r="X43" i="16" l="1"/>
  <c r="N48" i="2"/>
  <c r="W45" i="16"/>
  <c r="V46" i="16"/>
  <c r="N49" i="2" l="1"/>
  <c r="X44" i="16"/>
  <c r="W46" i="16"/>
  <c r="V47" i="16"/>
  <c r="N50" i="2" l="1"/>
  <c r="X45" i="16"/>
  <c r="W47" i="16"/>
  <c r="V48" i="16"/>
  <c r="X46" i="16" l="1"/>
  <c r="N51" i="2"/>
  <c r="W48" i="16"/>
  <c r="V49" i="16"/>
  <c r="X47" i="16" l="1"/>
  <c r="N52" i="2"/>
  <c r="W49" i="16"/>
  <c r="V50" i="16"/>
  <c r="X48" i="16" l="1"/>
  <c r="N53" i="2"/>
  <c r="W50" i="16"/>
  <c r="V51" i="16"/>
  <c r="N54" i="2" l="1"/>
  <c r="X49" i="16"/>
  <c r="W51" i="16"/>
  <c r="V52" i="16"/>
  <c r="X50" i="16" l="1"/>
  <c r="N55" i="2"/>
  <c r="W52" i="16"/>
  <c r="V53" i="16"/>
  <c r="X51" i="16" l="1"/>
  <c r="N56" i="2"/>
  <c r="W53" i="16"/>
  <c r="V54" i="16"/>
  <c r="X52" i="16" l="1"/>
  <c r="N57" i="2"/>
  <c r="W54" i="16"/>
  <c r="V55" i="16"/>
  <c r="X53" i="16" l="1"/>
  <c r="N58" i="2"/>
  <c r="W55" i="16"/>
  <c r="V56" i="16"/>
  <c r="N59" i="2" l="1"/>
  <c r="X54" i="16"/>
  <c r="V57" i="16"/>
  <c r="W56" i="16"/>
  <c r="N60" i="2" l="1"/>
  <c r="X55" i="16"/>
  <c r="W57" i="16"/>
  <c r="V58" i="16"/>
  <c r="N61" i="2" l="1"/>
  <c r="X56" i="16"/>
  <c r="W58" i="16"/>
  <c r="V59" i="16"/>
  <c r="X57" i="16" l="1"/>
  <c r="N63" i="2" s="1"/>
  <c r="N62" i="2"/>
  <c r="W59" i="16"/>
  <c r="V60" i="16"/>
  <c r="X58" i="16" l="1"/>
  <c r="W60" i="16"/>
  <c r="V61" i="16"/>
  <c r="N64" i="2" l="1"/>
  <c r="X59" i="16"/>
  <c r="W61" i="16"/>
  <c r="V62" i="16"/>
  <c r="X60" i="16" l="1"/>
  <c r="N65" i="2"/>
  <c r="W62" i="16"/>
  <c r="V63" i="16"/>
  <c r="N66" i="2" l="1"/>
  <c r="X61" i="16"/>
  <c r="W63" i="16"/>
  <c r="V64" i="16"/>
  <c r="N67" i="2" l="1"/>
  <c r="X62" i="16"/>
  <c r="W64" i="16"/>
  <c r="V65" i="16"/>
  <c r="X63" i="16" l="1"/>
  <c r="N68" i="2"/>
  <c r="W65" i="16"/>
  <c r="V66" i="16"/>
  <c r="N69" i="2" l="1"/>
  <c r="X64" i="16"/>
  <c r="W66" i="16"/>
  <c r="V67" i="16"/>
  <c r="N70" i="2" l="1"/>
  <c r="X65" i="16"/>
  <c r="W67" i="16"/>
  <c r="V68" i="16"/>
  <c r="X66" i="16" l="1"/>
  <c r="N71" i="2"/>
  <c r="W68" i="16"/>
  <c r="V69" i="16"/>
  <c r="N72" i="2" l="1"/>
  <c r="X67" i="16"/>
  <c r="W69" i="16"/>
  <c r="V70" i="16"/>
  <c r="X68" i="16" l="1"/>
  <c r="N73" i="2"/>
  <c r="W70" i="16"/>
  <c r="V71" i="16"/>
  <c r="X69" i="16" l="1"/>
  <c r="N75" i="2" s="1"/>
  <c r="N74" i="2"/>
  <c r="W71" i="16"/>
  <c r="V72" i="16"/>
  <c r="X70" i="16" l="1"/>
  <c r="W72" i="16"/>
  <c r="V73" i="16"/>
  <c r="N76" i="2" l="1"/>
  <c r="X71" i="16"/>
  <c r="W73" i="16"/>
  <c r="V74" i="16"/>
  <c r="N77" i="2" l="1"/>
  <c r="X72" i="16"/>
  <c r="V75" i="16"/>
  <c r="W74" i="16"/>
  <c r="N78" i="2" l="1"/>
  <c r="X73" i="16"/>
  <c r="W75" i="16"/>
  <c r="V76" i="16"/>
  <c r="X74" i="16" l="1"/>
  <c r="N79" i="2"/>
  <c r="W76" i="16"/>
  <c r="V77" i="16"/>
  <c r="N80" i="2" l="1"/>
  <c r="X75" i="16"/>
  <c r="W77" i="16"/>
  <c r="V78" i="16"/>
  <c r="X76" i="16" l="1"/>
  <c r="N81" i="2"/>
  <c r="W78" i="16"/>
  <c r="V79" i="16"/>
  <c r="N82" i="2" l="1"/>
  <c r="X77" i="16"/>
  <c r="W79" i="16"/>
  <c r="V80" i="16"/>
  <c r="N83" i="2" l="1"/>
  <c r="X78" i="16"/>
  <c r="W80" i="16"/>
  <c r="V81" i="16"/>
  <c r="N84" i="2" l="1"/>
  <c r="X79" i="16"/>
  <c r="X81" i="16"/>
  <c r="W81" i="16"/>
  <c r="V82" i="16"/>
  <c r="N85" i="2" l="1"/>
  <c r="X80" i="16"/>
  <c r="N86" i="2" s="1"/>
  <c r="N87" i="2"/>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N129" i="2" l="1"/>
  <c r="W124" i="16"/>
  <c r="X124" i="16" s="1"/>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N177" i="2" l="1"/>
  <c r="W172" i="16"/>
  <c r="X172" i="16" s="1"/>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W221" i="16"/>
  <c r="X221" i="16" s="1"/>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W269" i="16"/>
  <c r="X269" i="16" s="1"/>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W318" i="16"/>
  <c r="X318" i="16" s="1"/>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<sst xmlns="http://schemas.openxmlformats.org/spreadsheetml/2006/main" count="1987" uniqueCount="1149">
  <si>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</si>
  <si>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</si>
  <si>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</si>
  <si>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</si>
  <si>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</si>
  <si>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</si>
  <si>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</si>
  <si>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</si>
  <si>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</si>
  <si>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</si>
  <si>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</si>
  <si>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</si>
  <si>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</si>
  <si>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</si>
  <si>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</si>
  <si>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</si>
  <si>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</si>
  <si>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</si>
  <si>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</si>
  <si>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</si>
  <si>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</si>
  <si>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</si>
  <si>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</si>
  <si>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</si>
  <si>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</si>
  <si>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</si>
  <si>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</si>
  <si>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</si>
  <si>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</si>
  <si>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</si>
  <si>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</si>
  <si>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</si>
  <si>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</si>
  <si>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</si>
  <si>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</si>
  <si>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</si>
  <si>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</si>
  <si>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</si>
  <si>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</si>
  <si>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</si>
  <si>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</si>
  <si>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</si>
  <si>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</si>
  <si>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</si>
  <si>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</si>
  <si>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</si>
  <si>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</si>
  <si>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</si>
  <si>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</si>
  <si>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</si>
  <si>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</si>
  <si>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</si>
  <si>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</si>
  <si>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</si>
  <si>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</si>
  <si>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</si>
  <si>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</si>
  <si>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</si>
  <si>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</si>
  <si>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</si>
  <si>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</si>
  <si>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</si>
  <si>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</si>
  <si>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</si>
  <si>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</si>
  <si>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</si>
  <si>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</si>
  <si>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</si>
  <si>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</si>
  <si>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</si>
  <si>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</si>
  <si>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</si>
  <si>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</si>
  <si>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</si>
  <si>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</si>
  <si>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</si>
  <si>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</si>
  <si>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</si>
  <si>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</si>
  <si>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</si>
  <si>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</si>
  <si>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</si>
  <si>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</si>
  <si>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</si>
  <si>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</si>
  <si>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</si>
  <si>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</si>
  <si>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</si>
  <si>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</si>
  <si>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</si>
  <si>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</si>
  <si>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</si>
  <si>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</si>
  <si>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</si>
  <si>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</si>
  <si>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</si>
  <si>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</si>
  <si>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</si>
  <si>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</si>
  <si>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</si>
  <si>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</si>
  <si>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</si>
  <si>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</si>
  <si>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</si>
  <si>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</si>
  <si>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</si>
  <si>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</si>
  <si>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</si>
  <si>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</si>
  <si>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</si>
  <si>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</si>
  <si>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</si>
  <si>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</si>
  <si>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</si>
  <si>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</si>
  <si>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</si>
  <si>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</si>
  <si>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</si>
  <si>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</si>
  <si>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</si>
  <si>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</si>
  <si>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</si>
  <si>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</si>
  <si>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</si>
  <si>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</si>
  <si>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</si>
  <si>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</si>
  <si>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</si>
  <si>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</si>
  <si>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</si>
  <si>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</si>
  <si>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</si>
  <si>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</si>
  <si>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</si>
  <si>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</si>
  <si>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</si>
  <si>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</si>
  <si>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</si>
  <si>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</si>
  <si>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</si>
  <si>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</si>
  <si>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</si>
  <si>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</si>
  <si>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</si>
  <si>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</si>
  <si>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</si>
  <si>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</si>
  <si>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</si>
  <si>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</si>
  <si>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</si>
  <si>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</si>
  <si>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</si>
  <si>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</si>
  <si>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</si>
  <si>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</si>
  <si>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</si>
  <si>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</si>
  <si>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</si>
  <si>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</si>
  <si>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</si>
  <si>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</si>
  <si>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</si>
  <si>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</si>
  <si>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</si>
  <si>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</si>
  <si>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</si>
  <si>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</si>
  <si>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</si>
  <si>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</si>
  <si>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</si>
  <si>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</si>
  <si>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</si>
  <si>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</si>
  <si>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</si>
  <si>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</si>
  <si>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</si>
  <si>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</si>
  <si>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</si>
  <si>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</si>
  <si>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</si>
  <si>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</si>
  <si>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</si>
  <si>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</si>
  <si>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</si>
  <si>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</si>
  <si>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</si>
  <si>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</si>
  <si>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</si>
  <si>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</si>
  <si>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</si>
  <si>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</si>
  <si>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</si>
  <si>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</si>
  <si>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</si>
  <si>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</si>
  <si>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</si>
  <si>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</si>
  <si>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</si>
  <si>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</si>
  <si>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</si>
  <si>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</si>
  <si>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</si>
  <si>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</si>
  <si>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</si>
  <si>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</si>
  <si>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</si>
  <si>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</si>
  <si>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</si>
  <si>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</si>
  <si>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</si>
  <si>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</si>
  <si>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</si>
  <si>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</si>
  <si>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</si>
  <si>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</si>
  <si>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</si>
  <si>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</si>
  <si>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</si>
  <si>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</si>
  <si>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</si>
  <si>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</si>
  <si>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</si>
  <si>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</si>
  <si>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</si>
  <si>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</si>
  <si>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</si>
  <si>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</si>
  <si>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</si>
  <si>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</si>
  <si>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</si>
  <si>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</si>
  <si>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</si>
  <si>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</si>
  <si>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</si>
  <si>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</si>
  <si>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</si>
  <si>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</si>
  <si>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</si>
  <si>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</si>
  <si>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</si>
  <si>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</si>
  <si>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</si>
  <si>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</si>
  <si>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</si>
  <si>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</si>
  <si>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</si>
  <si>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</si>
  <si>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</si>
  <si>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</si>
  <si>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</si>
  <si>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</si>
  <si>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</si>
  <si>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</si>
  <si>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</si>
  <si>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</si>
  <si>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</si>
  <si>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</si>
  <si>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</si>
  <si>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</si>
  <si>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</si>
  <si>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</si>
  <si>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</si>
  <si>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</si>
  <si>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</si>
  <si>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</si>
  <si>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</si>
  <si>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</si>
  <si>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</si>
  <si>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</si>
  <si>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</si>
  <si>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</si>
  <si>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</si>
  <si>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</si>
  <si>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</si>
  <si>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</si>
  <si>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</si>
  <si>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</si>
  <si>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</si>
  <si>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</si>
  <si>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</si>
  <si>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</si>
  <si>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</si>
  <si>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</si>
  <si>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</si>
  <si>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</si>
  <si>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</si>
  <si>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</si>
  <si>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</si>
  <si>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</si>
  <si>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</si>
  <si>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</si>
  <si>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</si>
  <si>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</si>
  <si>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</si>
  <si>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</si>
  <si>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</si>
  <si>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</si>
  <si>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</si>
  <si>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</si>
  <si>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</si>
  <si>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</si>
  <si>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</si>
  <si>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</si>
  <si>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</si>
  <si>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</si>
  <si>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</si>
  <si>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</si>
  <si>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</si>
  <si>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</si>
  <si>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</si>
  <si>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</si>
  <si>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</si>
  <si>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</si>
  <si>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</si>
  <si>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</si>
  <si>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</si>
  <si>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</si>
  <si>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</si>
  <si>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</si>
  <si>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</si>
  <si>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</si>
  <si>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</si>
  <si>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</si>
  <si>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</si>
  <si>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</si>
  <si>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</si>
  <si>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</si>
  <si>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</si>
  <si>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</si>
  <si>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</si>
  <si>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</si>
  <si>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</si>
  <si>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</si>
  <si>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</si>
  <si>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</si>
  <si>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</si>
  <si>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</si>
  <si>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</si>
  <si>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</si>
  <si>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</si>
  <si>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</si>
  <si>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</si>
  <si>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</si>
  <si>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</si>
  <si>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</si>
  <si>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</si>
  <si>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</si>
  <si>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</si>
  <si>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</si>
  <si>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</si>
  <si>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</si>
  <si>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</si>
  <si>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</si>
  <si>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</si>
  <si>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</si>
  <si>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</si>
  <si>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</si>
  <si>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</si>
  <si>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</si>
  <si>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</si>
  <si>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</si>
  <si>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</si>
  <si>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</si>
  <si>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</si>
  <si>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</si>
  <si>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</si>
  <si>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</si>
  <si>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</si>
  <si>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</si>
  <si>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</si>
  <si>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</si>
  <si>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</si>
  <si>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</si>
  <si>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</si>
  <si>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</si>
  <si>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</si>
  <si>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</si>
  <si>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</si>
  <si>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</si>
  <si>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</si>
  <si>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</si>
  <si>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</si>
  <si>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</si>
  <si>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</si>
  <si>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</si>
  <si>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</si>
  <si>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</si>
  <si>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</si>
  <si>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</si>
  <si>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</si>
  <si>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</si>
  <si>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</si>
  <si>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</si>
  <si>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</si>
  <si>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</si>
  <si>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</si>
  <si>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</si>
  <si>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</si>
  <si>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</si>
  <si>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</si>
  <si>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</si>
  <si>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</si>
  <si>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</si>
  <si>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</si>
  <si>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</si>
  <si>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</si>
  <si>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</si>
  <si>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</si>
  <si>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</si>
  <si>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</si>
  <si>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</si>
  <si>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</si>
  <si>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</si>
  <si>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</si>
  <si>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</si>
  <si>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</si>
  <si>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</si>
  <si>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</si>
  <si>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</si>
  <si>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</si>
  <si>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</si>
  <si>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</si>
  <si>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</si>
  <si>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</si>
  <si>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</si>
  <si>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</si>
  <si>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</si>
  <si>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</si>
  <si>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</si>
  <si>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</si>
  <si>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</si>
  <si>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</si>
  <si>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</si>
  <si>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</si>
  <si>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</si>
  <si>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</si>
  <si>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</si>
  <si>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</si>
  <si>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</si>
  <si>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</si>
  <si>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</si>
  <si>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</si>
  <si>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</si>
  <si>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</si>
  <si>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</si>
  <si>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</si>
  <si>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</si>
  <si>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</si>
  <si>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</si>
  <si>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</si>
  <si>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</si>
  <si>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</si>
  <si>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</si>
  <si>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</si>
  <si>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</si>
  <si>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</si>
  <si>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</si>
  <si>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</si>
  <si>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</si>
  <si>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</si>
  <si>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</si>
  <si>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</si>
  <si>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</si>
  <si>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</si>
  <si>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</si>
  <si>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</si>
  <si>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</si>
  <si>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</si>
  <si>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</si>
  <si>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</si>
  <si>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</si>
  <si>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</si>
  <si>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</si>
  <si>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</si>
  <si>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</si>
  <si>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</si>
  <si>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</si>
  <si>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</si>
  <si>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</si>
  <si>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</si>
  <si>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</si>
  <si>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</si>
  <si>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</si>
  <si>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</si>
  <si>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</si>
  <si>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</si>
  <si>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</si>
  <si>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</si>
  <si>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</si>
  <si>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</si>
  <si>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</si>
  <si>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</si>
  <si>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</si>
  <si>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</si>
  <si>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</si>
  <si>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</si>
  <si>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</si>
  <si>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</si>
  <si>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</si>
  <si>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</si>
  <si>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</si>
  <si>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</si>
  <si>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</si>
  <si>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</si>
  <si>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</si>
  <si>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</si>
  <si>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</si>
  <si>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</si>
  <si>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</si>
  <si>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</si>
  <si>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</si>
  <si>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</si>
  <si>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</si>
  <si>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</si>
  <si>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</si>
  <si>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</si>
  <si>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</si>
  <si>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</si>
  <si>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</si>
  <si>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</si>
  <si>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</si>
  <si>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</si>
  <si>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</si>
  <si>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</si>
  <si>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</si>
  <si>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</si>
  <si>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</si>
  <si>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</si>
  <si>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</si>
  <si>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</si>
  <si>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</si>
  <si>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</si>
  <si>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</si>
  <si>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</si>
  <si>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</si>
  <si>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</si>
  <si>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</si>
  <si>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</si>
  <si>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</si>
  <si>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</si>
  <si>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</si>
  <si>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</si>
  <si>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</si>
  <si>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</si>
  <si>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</si>
  <si>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</si>
  <si>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</si>
  <si>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</si>
  <si>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</si>
  <si>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</si>
  <si>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</si>
  <si>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</si>
  <si>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</si>
  <si>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</si>
  <si>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</si>
  <si>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</si>
  <si>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</si>
  <si>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</si>
  <si>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</si>
  <si>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</si>
  <si>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</si>
  <si>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</si>
  <si>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</si>
  <si>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</si>
  <si>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</si>
  <si>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</si>
  <si>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</si>
  <si>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</si>
  <si>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</si>
  <si>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</si>
  <si>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</si>
  <si>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</si>
  <si>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</si>
  <si>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</si>
  <si>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</si>
  <si>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</si>
  <si>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</si>
  <si>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</si>
  <si>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</si>
  <si>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</si>
  <si>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</si>
  <si>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</si>
  <si>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</si>
  <si>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</si>
  <si>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</si>
  <si>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</si>
  <si>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</si>
  <si>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</si>
  <si>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</si>
  <si>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</si>
  <si>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</si>
  <si>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</si>
  <si>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</si>
  <si>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</si>
  <si>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</si>
  <si>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</si>
  <si>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</si>
  <si>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</si>
  <si>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</si>
  <si>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</si>
  <si>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</si>
  <si>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</si>
  <si>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</si>
  <si>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</si>
  <si>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</si>
  <si>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</si>
  <si>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</si>
  <si>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</si>
  <si>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</si>
  <si>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</si>
  <si>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</si>
  <si>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</si>
  <si>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</si>
  <si>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</si>
  <si>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</si>
  <si>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</si>
  <si>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</si>
  <si>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</si>
  <si>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</si>
  <si>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</si>
  <si>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</si>
  <si>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</si>
  <si>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</si>
  <si>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</si>
  <si>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</si>
  <si>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</si>
  <si>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</si>
  <si>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</si>
  <si>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</si>
  <si>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</si>
  <si>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</si>
  <si>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</si>
  <si>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</si>
  <si>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</si>
  <si>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</si>
  <si>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</si>
  <si>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</si>
  <si>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</si>
  <si>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</si>
  <si>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</si>
  <si>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</si>
  <si>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</si>
  <si>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</si>
  <si>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</si>
  <si>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</si>
  <si>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</si>
  <si>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</si>
  <si>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</si>
  <si>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</si>
  <si>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</si>
  <si>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</si>
  <si>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</si>
  <si>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</si>
  <si>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</si>
  <si>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</si>
  <si>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</si>
  <si>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</si>
  <si>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</si>
  <si>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</si>
  <si>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</si>
  <si>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</si>
  <si>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</si>
  <si>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</si>
  <si>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</si>
  <si>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</si>
  <si>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</si>
  <si>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</si>
  <si>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</si>
  <si>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</si>
  <si>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</si>
  <si>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</si>
  <si>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</si>
  <si>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</si>
  <si>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</si>
  <si>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</si>
  <si>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</si>
  <si>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</si>
  <si>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</si>
  <si>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</si>
  <si>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</si>
  <si>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</si>
  <si>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</si>
  <si>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</si>
  <si>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</si>
  <si>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</si>
  <si>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</si>
  <si>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</si>
  <si>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</si>
  <si>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</si>
  <si>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</si>
  <si>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</si>
  <si>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</si>
  <si>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</si>
  <si>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</si>
  <si>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</si>
  <si>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</si>
  <si>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</si>
  <si>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</si>
  <si>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</si>
  <si>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</si>
  <si>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</si>
  <si>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</si>
  <si>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</si>
  <si>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</si>
  <si>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</si>
  <si>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</si>
  <si>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</si>
  <si>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</si>
  <si>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</si>
  <si>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</si>
  <si>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</si>
  <si>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</si>
  <si>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</si>
  <si>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</si>
  <si>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</si>
  <si>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</si>
  <si>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</si>
  <si>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</si>
  <si>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</si>
  <si>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</si>
  <si>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</si>
  <si>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</si>
  <si>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</si>
  <si>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</si>
  <si>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</si>
  <si>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</si>
  <si>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</si>
  <si>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</si>
  <si>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</si>
  <si>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</si>
  <si>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</si>
  <si>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</si>
  <si>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</si>
  <si>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</si>
  <si>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</si>
  <si>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</si>
  <si>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</si>
  <si>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</si>
  <si>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</si>
  <si>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</si>
  <si>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</si>
  <si>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</si>
  <si>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</si>
  <si>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</si>
  <si>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</si>
  <si>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</si>
  <si>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</si>
  <si>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</si>
  <si>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</si>
  <si>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</si>
  <si>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</si>
  <si>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</si>
  <si>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</si>
  <si>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</si>
  <si>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</si>
  <si>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</si>
  <si>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</si>
  <si>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</si>
  <si>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</si>
  <si>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</si>
  <si>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</si>
  <si>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</si>
  <si>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</si>
  <si>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</si>
  <si>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</si>
  <si>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</si>
  <si>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</si>
  <si>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</si>
  <si>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</si>
  <si>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</si>
  <si>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</si>
  <si>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</si>
  <si>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</si>
  <si>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</si>
  <si>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</si>
  <si>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</si>
  <si>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</si>
  <si>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</si>
  <si>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</si>
  <si>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</si>
  <si>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</si>
  <si>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</si>
  <si>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</si>
  <si>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</si>
  <si>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</si>
  <si>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</si>
  <si>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</si>
  <si>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</si>
  <si>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</si>
  <si>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</si>
  <si>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</si>
  <si>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</si>
  <si>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</si>
  <si>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</si>
  <si>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</si>
  <si>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</si>
  <si>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</si>
  <si>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</si>
  <si>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</si>
  <si>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</si>
  <si>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</si>
  <si>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</si>
  <si>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</si>
  <si>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</si>
  <si>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</si>
  <si>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</si>
  <si>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</si>
  <si>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</si>
  <si>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</si>
  <si>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</si>
  <si>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</si>
  <si>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</si>
  <si>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</si>
  <si>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</si>
  <si>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</si>
  <si>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</si>
  <si>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</si>
  <si>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</si>
  <si>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</si>
  <si>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</si>
  <si>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</si>
  <si>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</si>
  <si>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</si>
  <si>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</si>
  <si>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</si>
  <si>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</si>
  <si>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</si>
  <si>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</si>
  <si>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</si>
  <si>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</si>
  <si>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</si>
  <si>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</si>
  <si>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</si>
  <si>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</si>
  <si>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</si>
  <si>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</si>
  <si>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</si>
  <si>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</si>
  <si>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</si>
  <si>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</si>
  <si>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</si>
  <si>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</si>
  <si>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</si>
  <si>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</si>
  <si>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</si>
  <si>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</si>
  <si>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</si>
  <si>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</si>
  <si>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</si>
  <si>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</si>
  <si>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</si>
  <si>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</si>
  <si>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</si>
  <si>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</si>
  <si>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</si>
  <si>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</si>
  <si>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</si>
  <si>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</si>
  <si>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</si>
  <si>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</si>
  <si>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</si>
  <si>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</si>
  <si>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</si>
  <si>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</si>
  <si>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</si>
  <si>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</si>
  <si>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</si>
  <si>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</si>
  <si>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</si>
  <si>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</si>
  <si>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</si>
  <si>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</si>
  <si>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</si>
  <si>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</si>
  <si>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</si>
  <si>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</si>
  <si>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</si>
  <si>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</si>
  <si>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</si>
  <si>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</si>
  <si>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</si>
  <si>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</si>
  <si>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</si>
  <si>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</si>
  <si>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</si>
  <si>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</si>
  <si>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</si>
  <si>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</si>
  <si>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</si>
  <si>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</si>
  <si>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</si>
  <si>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</si>
  <si>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</si>
  <si>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</si>
  <si>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</si>
  <si>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</si>
  <si>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</si>
  <si>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</si>
  <si>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</si>
  <si>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</si>
  <si>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</si>
  <si>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</si>
  <si>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</si>
  <si>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</si>
  <si>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</si>
  <si>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</si>
  <si>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</si>
  <si>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</si>
  <si>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</si>
  <si>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</si>
  <si>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</si>
  <si>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</si>
  <si>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</si>
  <si>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</si>
  <si>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</si>
  <si>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</si>
  <si>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</si>
  <si>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</si>
  <si>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</si>
  <si>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</si>
  <si>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</si>
  <si>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</si>
  <si>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</si>
  <si>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</si>
  <si>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</si>
  <si>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</si>
  <si>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</si>
  <si>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</si>
  <si>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</si>
  <si>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</si>
  <si>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</si>
  <si>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</si>
  <si>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</si>
  <si>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</si>
  <si>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</si>
  <si>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</si>
  <si>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</si>
  <si>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</si>
  <si>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</si>
  <si>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</si>
  <si>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</si>
  <si>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</si>
  <si>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</si>
  <si>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</si>
  <si>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</si>
  <si>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</si>
  <si>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</si>
  <si>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</si>
  <si>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</si>
  <si>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</si>
  <si>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</si>
  <si>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</si>
  <si>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</si>
  <si>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</si>
  <si>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</si>
  <si>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</si>
  <si>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</si>
  <si>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</si>
  <si>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</si>
  <si>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</si>
  <si>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</si>
  <si>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</si>
  <si>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</si>
  <si>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</si>
  <si>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</si>
  <si>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</si>
  <si>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</si>
  <si>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</si>
  <si>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</si>
  <si>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</si>
  <si>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</si>
  <si>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</si>
  <si>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</si>
  <si>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</si>
  <si>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</si>
  <si>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</si>
  <si>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</si>
  <si>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</si>
  <si>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</si>
  <si>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</si>
  <si>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</si>
  <si>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</si>
  <si>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</si>
  <si>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</si>
  <si>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</si>
  <si>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</si>
  <si>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</si>
  <si>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</si>
  <si>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</si>
  <si>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</si>
  <si>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</si>
  <si>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</si>
  <si>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</si>
  <si>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</si>
  <si>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</si>
  <si>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</si>
  <si>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</si>
  <si>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</si>
  <si>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</si>
  <si>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</si>
  <si>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</si>
  <si>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</si>
  <si>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</si>
  <si>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</si>
  <si>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</si>
  <si>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</si>
  <si>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</si>
  <si>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</si>
  <si>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</si>
  <si>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</si>
  <si>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</si>
  <si>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</si>
  <si>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</si>
  <si>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</si>
  <si>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</si>
  <si>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</si>
  <si>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</si>
  <si>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</si>
  <si>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</si>
  <si>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</si>
  <si>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</si>
  <si>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</si>
  <si>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</si>
  <si>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</si>
  <si>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</si>
  <si>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</si>
  <si>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</si>
  <si>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</si>
  <si>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</si>
  <si>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</si>
  <si>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</si>
  <si>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</si>
  <si>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</si>
  <si>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</si>
  <si>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</si>
  <si>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</si>
  <si>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</si>
  <si>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</si>
  <si>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</si>
  <si>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</si>
  <si>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</si>
  <si>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</si>
  <si>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</si>
  <si>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</si>
  <si>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</si>
  <si>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</si>
  <si>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</si>
  <si>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</si>
  <si>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</si>
  <si>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</si>
  <si>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</si>
  <si>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</si>
  <si>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</si>
  <si>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</si>
  <si>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</si>
  <si>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</si>
  <si>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</si>
  <si>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</si>
  <si>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</si>
  <si>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</si>
  <si>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</si>
  <si>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</si>
  <si>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</si>
  <si>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</si>
  <si>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</si>
  <si>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</si>
  <si>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</si>
  <si>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</si>
  <si>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</si>
  <si>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</si>
  <si>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</si>
  <si>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</si>
  <si>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</si>
  <si>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</si>
  <si>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</si>
  <si>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</si>
  <si>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</si>
  <si>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</si>
  <si>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</si>
  <si>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</si>
  <si>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</si>
  <si>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</si>
  <si>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</si>
  <si>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</si>
  <si>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</si>
  <si>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</si>
  <si>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</si>
  <si>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Calcs</t>
  </si>
  <si>
    <t>Overstorey Foliage Projective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</si>
  <si>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</si>
  <si>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</si>
  <si>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</si>
  <si>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</si>
  <si>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</si>
  <si>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</si>
  <si>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</si>
  <si>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</si>
  <si>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</si>
  <si>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</si>
  <si>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</si>
  <si>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</si>
  <si>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</si>
  <si>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</si>
  <si>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</si>
  <si>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</si>
  <si>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</si>
  <si>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</si>
  <si>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</si>
  <si>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</si>
  <si>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</si>
  <si>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</si>
  <si>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</si>
  <si>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</si>
  <si>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</si>
  <si>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</si>
  <si>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</si>
  <si>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</si>
  <si>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</si>
  <si>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</si>
  <si>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</si>
  <si>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</si>
  <si>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</si>
  <si>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</si>
  <si>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</si>
  <si>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</si>
  <si>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</si>
  <si>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</si>
  <si>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</si>
  <si>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</si>
  <si>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</si>
  <si>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</si>
  <si>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</si>
  <si>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</si>
  <si>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</si>
  <si>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</si>
  <si>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</si>
  <si>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</si>
  <si>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</si>
  <si>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</si>
  <si>
    <t>Wind Adjustment Factor (0-1)</t>
  </si>
  <si>
    <t>Wind Reduction Factor (1-10+)</t>
  </si>
  <si>
    <t>Tall (&gt;3m) Understorey Cover (%)</t>
  </si>
  <si>
    <t>Wednesday 12 January 2022</t>
  </si>
  <si>
    <t>Added bias correction to VESTA flame height calculation (plus 7%)</t>
  </si>
  <si>
    <t>Changed name of WRF to "Wind Adjustment Factor" in VESTA Mk2 to be consistent with publication</t>
  </si>
  <si>
    <t>Included two new sheets for VESTA Mk 2.  Cruz, Cheney, Gould, McCaw, Kilinc &amp; Sullivan (2022) Int J Wildl Fire, 31(1):</t>
  </si>
  <si>
    <t>Included a 2km wind limit to Phase 2 ROS in VESTA Mk2</t>
  </si>
  <si>
    <t>Restricted the aspect effect on VESTA Mk2 Wet Forest to between 90 and 225 degrees</t>
  </si>
  <si>
    <t>Changed the night time boundaries in all VESTA models to between 2000h and 0800h (previously 2000h to 0600h)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</si>
</sst>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3">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3" fillId="0" borderId="4" xfId="0" applyFont="1" applyBorder="1" applyProtection="1"/>
    <xf numFmtId="49" fontId="28" fillId="0" borderId="30" xfId="0" applyNumberFormat="1" applyFont="1" applyBorder="1" applyProtection="1"/>
    <xf numFmtId="164" fontId="0" fillId="33" borderId="1" xfId="0" applyNumberForma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601980</xdr:colOff>
          <xdr:row>3</xdr:row>
          <xdr:rowOff>144780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601980</xdr:colOff>
          <xdr:row>5</xdr:row>
          <xdr:rowOff>114300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22860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556260</xdr:colOff>
          <xdr:row>3</xdr:row>
          <xdr:rowOff>152400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45720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05"/>
  <sheetViews>
    <sheetView topLeftCell="A58" zoomScale="85" zoomScaleNormal="85" workbookViewId="0">
      <selection activeCell="O106" sqref="O106"/>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1123</v>
      </c>
      <c r="C98" s="354" t="s">
        <v>1145</v>
      </c>
    </row>
    <row r="99" spans="2:3" x14ac:dyDescent="0.25">
      <c r="C99" s="371" t="s">
        <v>1124</v>
      </c>
    </row>
    <row r="101" spans="2:3" x14ac:dyDescent="0.25">
      <c r="B101" s="357" t="s">
        <v>1142</v>
      </c>
      <c r="C101" s="354" t="s">
        <v>1143</v>
      </c>
    </row>
    <row r="102" spans="2:3" x14ac:dyDescent="0.25">
      <c r="C102" s="371" t="s">
        <v>1144</v>
      </c>
    </row>
    <row r="103" spans="2:3" x14ac:dyDescent="0.25">
      <c r="C103" s="371" t="s">
        <v>1146</v>
      </c>
    </row>
    <row r="104" spans="2:3" x14ac:dyDescent="0.25">
      <c r="C104" s="371" t="s">
        <v>1147</v>
      </c>
    </row>
    <row r="105" spans="2:3" x14ac:dyDescent="0.25">
      <c r="C105" s="371" t="s">
        <v>1148</v>
      </c>
    </row>
  </sheetData>
  <sheetProtection algorithmName="SHA-512" hashValue="zkwFQpLb8sP2TNjVEjp0j1mscB92CyFyUGxtzv00k2BXpW9JdWGAZInEWoLDA2vCX/2jSaSPuYXTS1YsH0eJNA==" saltValue="FNQlStUc/F78o3ZLjX80W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41281</v>
      </c>
      <c r="O6" s="245">
        <f>Weather_Site!C12</f>
        <v>0.20833333333333334</v>
      </c>
      <c r="P6" s="5">
        <f>Weather_Site!E12</f>
        <v>93.9</v>
      </c>
      <c r="Q6" s="5"/>
      <c r="R6" s="5"/>
      <c r="S6" s="5">
        <f>HOUR(O6)</f>
        <v>5</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41281</v>
      </c>
      <c r="O7" s="245">
        <f>Weather_Site!C13</f>
        <v>0.25</v>
      </c>
      <c r="P7" s="5">
        <f>Weather_Site!E13</f>
        <v>94.5</v>
      </c>
      <c r="Q7" s="245">
        <f>IF((O7-O6)&lt;0,(1-MAX(O6,0.625))+MIN(O7,0.334),(IF(O6&lt;0.333,(MIN(O7,0.334)-O6),IF(O7&gt;0.625,MAX(O7,0.625)-O6,0))))</f>
        <v>4.1666666666666657E-2</v>
      </c>
      <c r="R7" s="5">
        <f>HOUR(Q7)</f>
        <v>1</v>
      </c>
      <c r="S7" s="5">
        <f t="shared" ref="S7:S36" si="1">HOUR(O7)</f>
        <v>6</v>
      </c>
      <c r="T7" s="247">
        <f>(P7+P6)/2*R7</f>
        <v>94.2</v>
      </c>
      <c r="U7" s="5">
        <f>MAX((T7-70*R7),0)</f>
        <v>24.200000000000003</v>
      </c>
      <c r="V7" s="247">
        <f>IF(OR(AND((N7-N6)=0,O6&gt;0.5),AND((N7-N6)=1,O7&lt;0.5),AND(N7-N6)=0,O7&lt;0.5),U7+V6,U7)</f>
        <v>24.200000000000003</v>
      </c>
      <c r="W7" s="276">
        <f>IF(O7&lt;0.75,MAX(V7,W6),V7)</f>
        <v>24.200000000000003</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41281</v>
      </c>
      <c r="O8" s="245">
        <f>Weather_Site!C14</f>
        <v>0.29166666666666669</v>
      </c>
      <c r="P8" s="5">
        <f>Weather_Site!E14</f>
        <v>92.7</v>
      </c>
      <c r="Q8" s="245">
        <f t="shared" ref="Q8:Q36" si="4">IF((O8-O7)&lt;0,(1-MAX(O7,0.625))+MIN(O8,0.334),(IF(O7&lt;0.333,(MIN(O8,0.334)-O7),IF(O8&gt;0.625,MAX(O8,0.625)-O7,0))))</f>
        <v>4.1666666666666685E-2</v>
      </c>
      <c r="R8" s="5">
        <f t="shared" ref="R8:R71" si="5">HOUR(Q8)</f>
        <v>1</v>
      </c>
      <c r="S8" s="5">
        <f t="shared" si="1"/>
        <v>7</v>
      </c>
      <c r="T8" s="247">
        <f t="shared" ref="T8:T36" si="6">(P8+P7)/2*R8</f>
        <v>93.6</v>
      </c>
      <c r="U8" s="5">
        <f t="shared" ref="U8:U71" si="7">MAX((T8-70*R8),0)</f>
        <v>23.599999999999994</v>
      </c>
      <c r="V8" s="247">
        <f t="shared" ref="V8:V71" si="8">IF(OR(AND((N8-N7)=0,O7&gt;0.5),AND((N8-N7)=1,O8&lt;0.5),AND(N8-N7)=0,O8&lt;0.5),U8+V7,U8)</f>
        <v>47.8</v>
      </c>
      <c r="W8" s="276">
        <f t="shared" ref="W8:W71" si="9">IF(O8&lt;0.75,MAX(V8,W7),V8)</f>
        <v>47.8</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41281</v>
      </c>
      <c r="O9" s="245">
        <f>Weather_Site!C15</f>
        <v>0.33333333333333331</v>
      </c>
      <c r="P9" s="5">
        <f>Weather_Site!E15</f>
        <v>87</v>
      </c>
      <c r="Q9" s="245">
        <f t="shared" si="4"/>
        <v>4.166666666666663E-2</v>
      </c>
      <c r="R9" s="5">
        <f t="shared" si="5"/>
        <v>1</v>
      </c>
      <c r="S9" s="5">
        <f t="shared" si="1"/>
        <v>8</v>
      </c>
      <c r="T9" s="247">
        <f t="shared" si="6"/>
        <v>89.85</v>
      </c>
      <c r="U9" s="5">
        <f t="shared" si="7"/>
        <v>19.849999999999994</v>
      </c>
      <c r="V9" s="247">
        <f t="shared" si="8"/>
        <v>67.649999999999991</v>
      </c>
      <c r="W9" s="276">
        <f t="shared" si="9"/>
        <v>67.649999999999991</v>
      </c>
      <c r="X9" s="277">
        <f t="shared" si="10"/>
        <v>67.649999999999991</v>
      </c>
    </row>
    <row r="10" spans="1:26" x14ac:dyDescent="0.25">
      <c r="B10" s="275">
        <f t="shared" si="2"/>
        <v>0.83333333333333304</v>
      </c>
      <c r="C10" s="75">
        <v>0.83333333333333304</v>
      </c>
      <c r="D10" s="86">
        <v>70</v>
      </c>
      <c r="E10" s="29">
        <v>4</v>
      </c>
      <c r="F10" s="29">
        <f t="shared" si="0"/>
        <v>70</v>
      </c>
      <c r="G10" s="29">
        <f t="shared" si="3"/>
        <v>0</v>
      </c>
      <c r="N10" s="244">
        <f>Weather_Site!B16</f>
        <v>41281</v>
      </c>
      <c r="O10" s="245">
        <f>Weather_Site!C16</f>
        <v>0.375</v>
      </c>
      <c r="P10" s="5">
        <f>Weather_Site!E16</f>
        <v>78.3</v>
      </c>
      <c r="Q10" s="245">
        <f t="shared" si="4"/>
        <v>0</v>
      </c>
      <c r="R10" s="5">
        <f t="shared" si="5"/>
        <v>0</v>
      </c>
      <c r="S10" s="5">
        <f t="shared" si="1"/>
        <v>9</v>
      </c>
      <c r="T10" s="247">
        <f t="shared" si="6"/>
        <v>0</v>
      </c>
      <c r="U10" s="5">
        <f t="shared" si="7"/>
        <v>0</v>
      </c>
      <c r="V10" s="247">
        <f t="shared" si="8"/>
        <v>67.649999999999991</v>
      </c>
      <c r="W10" s="276">
        <f t="shared" si="9"/>
        <v>67.649999999999991</v>
      </c>
      <c r="X10" s="277">
        <f t="shared" si="10"/>
        <v>67.649999999999991</v>
      </c>
    </row>
    <row r="11" spans="1:26" x14ac:dyDescent="0.25">
      <c r="B11" s="275">
        <f t="shared" si="2"/>
        <v>0.875</v>
      </c>
      <c r="C11" s="75">
        <v>0.875</v>
      </c>
      <c r="D11" s="86">
        <v>80</v>
      </c>
      <c r="E11" s="29">
        <v>5</v>
      </c>
      <c r="F11" s="29">
        <f t="shared" si="0"/>
        <v>80</v>
      </c>
      <c r="G11" s="29">
        <f t="shared" si="3"/>
        <v>5</v>
      </c>
      <c r="N11" s="244">
        <f>Weather_Site!B17</f>
        <v>41281</v>
      </c>
      <c r="O11" s="245">
        <f>Weather_Site!C17</f>
        <v>0.41666666666666669</v>
      </c>
      <c r="P11" s="5">
        <f>Weather_Site!E17</f>
        <v>69.599999999999994</v>
      </c>
      <c r="Q11" s="245">
        <f t="shared" si="4"/>
        <v>0</v>
      </c>
      <c r="R11" s="5">
        <f t="shared" si="5"/>
        <v>0</v>
      </c>
      <c r="S11" s="5">
        <f t="shared" si="1"/>
        <v>10</v>
      </c>
      <c r="T11" s="247">
        <f t="shared" si="6"/>
        <v>0</v>
      </c>
      <c r="U11" s="5">
        <f t="shared" si="7"/>
        <v>0</v>
      </c>
      <c r="V11" s="247">
        <f t="shared" si="8"/>
        <v>67.649999999999991</v>
      </c>
      <c r="W11" s="276">
        <f t="shared" si="9"/>
        <v>67.649999999999991</v>
      </c>
      <c r="X11" s="277">
        <f t="shared" si="10"/>
        <v>67.649999999999991</v>
      </c>
    </row>
    <row r="12" spans="1:26" x14ac:dyDescent="0.25">
      <c r="B12" s="275">
        <f t="shared" si="2"/>
        <v>0.91666666666666696</v>
      </c>
      <c r="C12" s="75">
        <v>0.91666666666666696</v>
      </c>
      <c r="D12" s="86">
        <v>80</v>
      </c>
      <c r="E12" s="29">
        <v>6</v>
      </c>
      <c r="F12" s="29">
        <f t="shared" si="0"/>
        <v>80</v>
      </c>
      <c r="G12" s="29">
        <f t="shared" si="3"/>
        <v>10</v>
      </c>
      <c r="N12" s="244">
        <f>Weather_Site!B18</f>
        <v>41281</v>
      </c>
      <c r="O12" s="245">
        <f>Weather_Site!C18</f>
        <v>0.45833333333333331</v>
      </c>
      <c r="P12" s="5">
        <f>Weather_Site!E18</f>
        <v>62.1</v>
      </c>
      <c r="Q12" s="245">
        <f t="shared" si="4"/>
        <v>0</v>
      </c>
      <c r="R12" s="5">
        <f t="shared" si="5"/>
        <v>0</v>
      </c>
      <c r="S12" s="5">
        <f t="shared" si="1"/>
        <v>11</v>
      </c>
      <c r="T12" s="247">
        <f t="shared" si="6"/>
        <v>0</v>
      </c>
      <c r="U12" s="5">
        <f t="shared" si="7"/>
        <v>0</v>
      </c>
      <c r="V12" s="247">
        <f t="shared" si="8"/>
        <v>67.649999999999991</v>
      </c>
      <c r="W12" s="276">
        <f t="shared" si="9"/>
        <v>67.649999999999991</v>
      </c>
      <c r="X12" s="277">
        <f t="shared" si="10"/>
        <v>67.649999999999991</v>
      </c>
    </row>
    <row r="13" spans="1:26" x14ac:dyDescent="0.25">
      <c r="B13" s="275">
        <f t="shared" si="2"/>
        <v>0.95833333333333304</v>
      </c>
      <c r="C13" s="75">
        <v>0.95833333333333304</v>
      </c>
      <c r="D13" s="86">
        <v>80</v>
      </c>
      <c r="E13" s="29">
        <v>7</v>
      </c>
      <c r="F13" s="29">
        <f t="shared" si="0"/>
        <v>80</v>
      </c>
      <c r="G13" s="29">
        <f t="shared" si="3"/>
        <v>10</v>
      </c>
      <c r="N13" s="244">
        <f>Weather_Site!B19</f>
        <v>41281</v>
      </c>
      <c r="O13" s="245">
        <f>Weather_Site!C19</f>
        <v>0.5</v>
      </c>
      <c r="P13" s="5">
        <f>Weather_Site!E19</f>
        <v>55.1</v>
      </c>
      <c r="Q13" s="245">
        <f t="shared" si="4"/>
        <v>0</v>
      </c>
      <c r="R13" s="5">
        <f t="shared" si="5"/>
        <v>0</v>
      </c>
      <c r="S13" s="5">
        <f t="shared" si="1"/>
        <v>12</v>
      </c>
      <c r="T13" s="247">
        <f t="shared" si="6"/>
        <v>0</v>
      </c>
      <c r="U13" s="5">
        <f t="shared" si="7"/>
        <v>0</v>
      </c>
      <c r="V13" s="247">
        <f t="shared" si="8"/>
        <v>0</v>
      </c>
      <c r="W13" s="276">
        <f t="shared" si="9"/>
        <v>67.649999999999991</v>
      </c>
      <c r="X13" s="277">
        <f t="shared" si="10"/>
        <v>67.649999999999991</v>
      </c>
    </row>
    <row r="14" spans="1:26" x14ac:dyDescent="0.25">
      <c r="B14" s="275">
        <f t="shared" si="2"/>
        <v>1</v>
      </c>
      <c r="C14" s="75">
        <v>1</v>
      </c>
      <c r="D14" s="86"/>
      <c r="E14" s="29">
        <v>8</v>
      </c>
      <c r="F14" s="29">
        <f t="shared" si="0"/>
        <v>80</v>
      </c>
      <c r="G14" s="29">
        <f t="shared" si="3"/>
        <v>10</v>
      </c>
      <c r="N14" s="244">
        <f>Weather_Site!B20</f>
        <v>41281</v>
      </c>
      <c r="O14" s="245">
        <f>Weather_Site!C20</f>
        <v>0.54166666666666663</v>
      </c>
      <c r="P14" s="5">
        <f>Weather_Site!E20</f>
        <v>48.7</v>
      </c>
      <c r="Q14" s="245">
        <f t="shared" si="4"/>
        <v>0</v>
      </c>
      <c r="R14" s="5">
        <f t="shared" si="5"/>
        <v>0</v>
      </c>
      <c r="S14" s="5">
        <f t="shared" si="1"/>
        <v>13</v>
      </c>
      <c r="T14" s="247">
        <f t="shared" si="6"/>
        <v>0</v>
      </c>
      <c r="U14" s="5">
        <f t="shared" si="7"/>
        <v>0</v>
      </c>
      <c r="V14" s="247">
        <f t="shared" si="8"/>
        <v>0</v>
      </c>
      <c r="W14" s="276">
        <f t="shared" si="9"/>
        <v>67.649999999999991</v>
      </c>
      <c r="X14" s="277">
        <f t="shared" si="10"/>
        <v>67.649999999999991</v>
      </c>
    </row>
    <row r="15" spans="1:26" x14ac:dyDescent="0.25">
      <c r="B15" s="275">
        <f t="shared" si="2"/>
        <v>1.0416666666666701</v>
      </c>
      <c r="C15" s="75">
        <v>1.0416666666666701</v>
      </c>
      <c r="D15" s="86"/>
      <c r="E15" s="29">
        <v>9</v>
      </c>
      <c r="F15" s="29">
        <f t="shared" si="0"/>
        <v>80</v>
      </c>
      <c r="G15" s="29">
        <f t="shared" si="3"/>
        <v>10</v>
      </c>
      <c r="N15" s="244">
        <f>Weather_Site!B21</f>
        <v>41281</v>
      </c>
      <c r="O15" s="245">
        <f>Weather_Site!C21</f>
        <v>0.58333333333333337</v>
      </c>
      <c r="P15" s="5">
        <f>Weather_Site!E21</f>
        <v>44.1</v>
      </c>
      <c r="Q15" s="245">
        <f t="shared" si="4"/>
        <v>0</v>
      </c>
      <c r="R15" s="5">
        <f t="shared" si="5"/>
        <v>0</v>
      </c>
      <c r="S15" s="5">
        <f t="shared" si="1"/>
        <v>14</v>
      </c>
      <c r="T15" s="247">
        <f t="shared" si="6"/>
        <v>0</v>
      </c>
      <c r="U15" s="5">
        <f t="shared" si="7"/>
        <v>0</v>
      </c>
      <c r="V15" s="247">
        <f t="shared" si="8"/>
        <v>0</v>
      </c>
      <c r="W15" s="276">
        <f t="shared" si="9"/>
        <v>67.649999999999991</v>
      </c>
      <c r="X15" s="277">
        <f t="shared" si="10"/>
        <v>67.649999999999991</v>
      </c>
    </row>
    <row r="16" spans="1:26" x14ac:dyDescent="0.25">
      <c r="B16" s="275">
        <f t="shared" si="2"/>
        <v>1.0833333333333299</v>
      </c>
      <c r="C16" s="75">
        <v>1.0833333333333299</v>
      </c>
      <c r="D16" s="86"/>
      <c r="E16" s="29">
        <v>10</v>
      </c>
      <c r="F16" s="29">
        <f t="shared" si="0"/>
        <v>80</v>
      </c>
      <c r="G16" s="29">
        <f t="shared" si="3"/>
        <v>10</v>
      </c>
      <c r="N16" s="244">
        <f>Weather_Site!B22</f>
        <v>41281</v>
      </c>
      <c r="O16" s="245">
        <f>Weather_Site!C22</f>
        <v>0.625</v>
      </c>
      <c r="P16" s="5">
        <f>Weather_Site!E22</f>
        <v>44.4</v>
      </c>
      <c r="Q16" s="245">
        <f t="shared" si="4"/>
        <v>0</v>
      </c>
      <c r="R16" s="5">
        <f t="shared" si="5"/>
        <v>0</v>
      </c>
      <c r="S16" s="5">
        <f t="shared" si="1"/>
        <v>15</v>
      </c>
      <c r="T16" s="247">
        <f t="shared" si="6"/>
        <v>0</v>
      </c>
      <c r="U16" s="5">
        <f t="shared" si="7"/>
        <v>0</v>
      </c>
      <c r="V16" s="247">
        <f t="shared" si="8"/>
        <v>0</v>
      </c>
      <c r="W16" s="276">
        <f t="shared" si="9"/>
        <v>67.649999999999991</v>
      </c>
      <c r="X16" s="277">
        <f t="shared" si="10"/>
        <v>67.649999999999991</v>
      </c>
    </row>
    <row r="17" spans="2:24" x14ac:dyDescent="0.25">
      <c r="B17" s="275">
        <f t="shared" si="2"/>
        <v>1.125</v>
      </c>
      <c r="C17" s="75">
        <v>1.125</v>
      </c>
      <c r="D17" s="86">
        <v>90</v>
      </c>
      <c r="E17" s="29">
        <v>11</v>
      </c>
      <c r="F17" s="29">
        <f t="shared" si="0"/>
        <v>90</v>
      </c>
      <c r="G17" s="29">
        <f t="shared" si="3"/>
        <v>15</v>
      </c>
      <c r="N17" s="244">
        <f>Weather_Site!B23</f>
        <v>41281</v>
      </c>
      <c r="O17" s="245">
        <f>Weather_Site!C23</f>
        <v>0.66666666666666663</v>
      </c>
      <c r="P17" s="5">
        <f>Weather_Site!E23</f>
        <v>48.2</v>
      </c>
      <c r="Q17" s="245">
        <f t="shared" si="4"/>
        <v>4.166666666666663E-2</v>
      </c>
      <c r="R17" s="5">
        <f t="shared" si="5"/>
        <v>1</v>
      </c>
      <c r="S17" s="5">
        <f t="shared" si="1"/>
        <v>16</v>
      </c>
      <c r="T17" s="247">
        <f t="shared" si="6"/>
        <v>46.3</v>
      </c>
      <c r="U17" s="5">
        <f t="shared" si="7"/>
        <v>0</v>
      </c>
      <c r="V17" s="247">
        <f t="shared" si="8"/>
        <v>0</v>
      </c>
      <c r="W17" s="276">
        <f t="shared" si="9"/>
        <v>67.649999999999991</v>
      </c>
      <c r="X17" s="277">
        <f t="shared" si="10"/>
        <v>67.649999999999991</v>
      </c>
    </row>
    <row r="18" spans="2:24" x14ac:dyDescent="0.25">
      <c r="B18" s="275">
        <f t="shared" si="2"/>
        <v>1.1666666666666701</v>
      </c>
      <c r="C18" s="75">
        <v>1.1666666666666701</v>
      </c>
      <c r="D18" s="86"/>
      <c r="E18" s="29">
        <v>12</v>
      </c>
      <c r="F18" s="29">
        <f t="shared" si="0"/>
        <v>90</v>
      </c>
      <c r="G18" s="29">
        <f t="shared" si="3"/>
        <v>20</v>
      </c>
      <c r="N18" s="244">
        <f>Weather_Site!B24</f>
        <v>41281</v>
      </c>
      <c r="O18" s="245">
        <f>Weather_Site!C24</f>
        <v>0.70833333333333337</v>
      </c>
      <c r="P18" s="5">
        <f>Weather_Site!E24</f>
        <v>54.7</v>
      </c>
      <c r="Q18" s="245">
        <f t="shared" si="4"/>
        <v>4.1666666666666741E-2</v>
      </c>
      <c r="R18" s="5">
        <f t="shared" si="5"/>
        <v>1</v>
      </c>
      <c r="S18" s="5">
        <f t="shared" si="1"/>
        <v>17</v>
      </c>
      <c r="T18" s="247">
        <f t="shared" si="6"/>
        <v>51.45</v>
      </c>
      <c r="U18" s="5">
        <f t="shared" si="7"/>
        <v>0</v>
      </c>
      <c r="V18" s="247">
        <f t="shared" si="8"/>
        <v>0</v>
      </c>
      <c r="W18" s="276">
        <f t="shared" si="9"/>
        <v>67.649999999999991</v>
      </c>
      <c r="X18" s="277">
        <f t="shared" si="10"/>
        <v>67.649999999999991</v>
      </c>
    </row>
    <row r="19" spans="2:24" x14ac:dyDescent="0.25">
      <c r="B19" s="275">
        <f t="shared" si="2"/>
        <v>1.2083333333333299</v>
      </c>
      <c r="C19" s="75">
        <v>1.2083333333333299</v>
      </c>
      <c r="D19" s="86"/>
      <c r="E19" s="29">
        <v>13</v>
      </c>
      <c r="F19" s="29">
        <f t="shared" si="0"/>
        <v>90</v>
      </c>
      <c r="G19" s="29">
        <f t="shared" si="3"/>
        <v>20</v>
      </c>
      <c r="N19" s="244">
        <f>Weather_Site!B25</f>
        <v>41281</v>
      </c>
      <c r="O19" s="245">
        <f>Weather_Site!C25</f>
        <v>0.75</v>
      </c>
      <c r="P19" s="5">
        <f>Weather_Site!E25</f>
        <v>61.7</v>
      </c>
      <c r="Q19" s="245">
        <f t="shared" si="4"/>
        <v>4.166666666666663E-2</v>
      </c>
      <c r="R19" s="5">
        <f t="shared" si="5"/>
        <v>1</v>
      </c>
      <c r="S19" s="5">
        <f t="shared" si="1"/>
        <v>18</v>
      </c>
      <c r="T19" s="247">
        <f t="shared" si="6"/>
        <v>58.2</v>
      </c>
      <c r="U19" s="5">
        <f t="shared" si="7"/>
        <v>0</v>
      </c>
      <c r="V19" s="247">
        <f t="shared" si="8"/>
        <v>0</v>
      </c>
      <c r="W19" s="276">
        <f t="shared" si="9"/>
        <v>0</v>
      </c>
      <c r="X19" s="277">
        <f t="shared" si="10"/>
        <v>67.649999999999991</v>
      </c>
    </row>
    <row r="20" spans="2:24" x14ac:dyDescent="0.25">
      <c r="B20" s="275">
        <f t="shared" si="2"/>
        <v>1.25</v>
      </c>
      <c r="C20" s="75">
        <v>1.25</v>
      </c>
      <c r="D20" s="86">
        <v>75</v>
      </c>
      <c r="E20" s="29">
        <v>14</v>
      </c>
      <c r="F20" s="29">
        <f t="shared" si="0"/>
        <v>75</v>
      </c>
      <c r="G20" s="29">
        <f t="shared" si="3"/>
        <v>12.5</v>
      </c>
      <c r="N20" s="244">
        <f>Weather_Site!B26</f>
        <v>41281</v>
      </c>
      <c r="O20" s="245">
        <f>Weather_Site!C26</f>
        <v>0.79166666666666663</v>
      </c>
      <c r="P20" s="5">
        <f>Weather_Site!E26</f>
        <v>69.5</v>
      </c>
      <c r="Q20" s="245">
        <f t="shared" si="4"/>
        <v>4.166666666666663E-2</v>
      </c>
      <c r="R20" s="5">
        <f t="shared" si="5"/>
        <v>1</v>
      </c>
      <c r="S20" s="5">
        <f t="shared" si="1"/>
        <v>19</v>
      </c>
      <c r="T20" s="247">
        <f t="shared" si="6"/>
        <v>65.599999999999994</v>
      </c>
      <c r="U20" s="5">
        <f t="shared" si="7"/>
        <v>0</v>
      </c>
      <c r="V20" s="247">
        <f t="shared" si="8"/>
        <v>0</v>
      </c>
      <c r="W20" s="276">
        <f t="shared" si="9"/>
        <v>0</v>
      </c>
      <c r="X20" s="277">
        <f t="shared" si="10"/>
        <v>67.649999999999991</v>
      </c>
    </row>
    <row r="21" spans="2:24" x14ac:dyDescent="0.25">
      <c r="B21" s="275">
        <f t="shared" si="2"/>
        <v>1.2916666666666701</v>
      </c>
      <c r="C21" s="75">
        <v>1.2916666666666701</v>
      </c>
      <c r="D21" s="86"/>
      <c r="E21" s="29">
        <v>15</v>
      </c>
      <c r="F21" s="29">
        <f t="shared" si="0"/>
        <v>75</v>
      </c>
      <c r="G21" s="29">
        <f t="shared" si="3"/>
        <v>5</v>
      </c>
      <c r="N21" s="244">
        <f>Weather_Site!B27</f>
        <v>41281</v>
      </c>
      <c r="O21" s="245">
        <f>Weather_Site!C27</f>
        <v>0.83333333333333337</v>
      </c>
      <c r="P21" s="5">
        <f>Weather_Site!E27</f>
        <v>80</v>
      </c>
      <c r="Q21" s="245">
        <f t="shared" si="4"/>
        <v>4.1666666666666741E-2</v>
      </c>
      <c r="R21" s="5">
        <f t="shared" si="5"/>
        <v>1</v>
      </c>
      <c r="S21" s="5">
        <f t="shared" si="1"/>
        <v>20</v>
      </c>
      <c r="T21" s="247">
        <f t="shared" si="6"/>
        <v>74.75</v>
      </c>
      <c r="U21" s="5">
        <f t="shared" si="7"/>
        <v>4.75</v>
      </c>
      <c r="V21" s="247">
        <f t="shared" si="8"/>
        <v>4.75</v>
      </c>
      <c r="W21" s="276">
        <f t="shared" si="9"/>
        <v>4.75</v>
      </c>
      <c r="X21" s="277">
        <f t="shared" si="10"/>
        <v>67.649999999999991</v>
      </c>
    </row>
    <row r="22" spans="2:24" x14ac:dyDescent="0.25">
      <c r="B22" s="275">
        <f>C22</f>
        <v>1.3333333333333299</v>
      </c>
      <c r="C22" s="75">
        <v>1.3333333333333299</v>
      </c>
      <c r="D22" s="86">
        <v>60</v>
      </c>
      <c r="E22" s="29">
        <v>16</v>
      </c>
      <c r="F22" s="29">
        <f t="shared" si="0"/>
        <v>60</v>
      </c>
      <c r="G22" s="29">
        <f t="shared" si="3"/>
        <v>0</v>
      </c>
      <c r="N22" s="244">
        <f>Weather_Site!B28</f>
        <v>41281</v>
      </c>
      <c r="O22" s="245">
        <f>Weather_Site!C28</f>
        <v>0.875</v>
      </c>
      <c r="P22" s="5">
        <f>Weather_Site!E28</f>
        <v>86.1</v>
      </c>
      <c r="Q22" s="245">
        <f t="shared" si="4"/>
        <v>4.166666666666663E-2</v>
      </c>
      <c r="R22" s="5">
        <f t="shared" si="5"/>
        <v>1</v>
      </c>
      <c r="S22" s="5">
        <f t="shared" si="1"/>
        <v>21</v>
      </c>
      <c r="T22" s="247">
        <f t="shared" si="6"/>
        <v>83.05</v>
      </c>
      <c r="U22" s="5">
        <f t="shared" si="7"/>
        <v>13.049999999999997</v>
      </c>
      <c r="V22" s="247">
        <f t="shared" si="8"/>
        <v>17.799999999999997</v>
      </c>
      <c r="W22" s="276">
        <f t="shared" si="9"/>
        <v>17.799999999999997</v>
      </c>
      <c r="X22" s="277">
        <f t="shared" si="10"/>
        <v>67.649999999999991</v>
      </c>
    </row>
    <row r="23" spans="2:24" x14ac:dyDescent="0.25">
      <c r="F23" s="241" t="s">
        <v>323</v>
      </c>
      <c r="G23" s="242">
        <f>SUM(G9:G22)/4</f>
        <v>31.875</v>
      </c>
      <c r="I23" t="s">
        <v>326</v>
      </c>
      <c r="N23" s="244">
        <f>Weather_Site!B29</f>
        <v>41281</v>
      </c>
      <c r="O23" s="245">
        <f>Weather_Site!C29</f>
        <v>0.91666666666666663</v>
      </c>
      <c r="P23" s="5">
        <f>Weather_Site!E29</f>
        <v>86.6</v>
      </c>
      <c r="Q23" s="245">
        <f t="shared" si="4"/>
        <v>4.166666666666663E-2</v>
      </c>
      <c r="R23" s="5">
        <f t="shared" si="5"/>
        <v>1</v>
      </c>
      <c r="S23" s="5">
        <f t="shared" si="1"/>
        <v>22</v>
      </c>
      <c r="T23" s="247">
        <f t="shared" si="6"/>
        <v>86.35</v>
      </c>
      <c r="U23" s="5">
        <f t="shared" si="7"/>
        <v>16.349999999999994</v>
      </c>
      <c r="V23" s="247">
        <f t="shared" si="8"/>
        <v>34.149999999999991</v>
      </c>
      <c r="W23" s="276">
        <f t="shared" si="9"/>
        <v>34.149999999999991</v>
      </c>
      <c r="X23" s="277">
        <f t="shared" si="10"/>
        <v>67.649999999999991</v>
      </c>
    </row>
    <row r="24" spans="2:24" x14ac:dyDescent="0.25">
      <c r="N24" s="244">
        <f>Weather_Site!B30</f>
        <v>41281</v>
      </c>
      <c r="O24" s="245">
        <f>Weather_Site!C30</f>
        <v>0.95833333333333337</v>
      </c>
      <c r="P24" s="5">
        <f>Weather_Site!E30</f>
        <v>85.6</v>
      </c>
      <c r="Q24" s="245">
        <f t="shared" si="4"/>
        <v>4.1666666666666741E-2</v>
      </c>
      <c r="R24" s="5">
        <f t="shared" si="5"/>
        <v>1</v>
      </c>
      <c r="S24" s="5">
        <f t="shared" si="1"/>
        <v>23</v>
      </c>
      <c r="T24" s="247">
        <f t="shared" si="6"/>
        <v>86.1</v>
      </c>
      <c r="U24" s="5">
        <f t="shared" si="7"/>
        <v>16.099999999999994</v>
      </c>
      <c r="V24" s="247">
        <f t="shared" si="8"/>
        <v>50.249999999999986</v>
      </c>
      <c r="W24" s="276">
        <f t="shared" si="9"/>
        <v>50.249999999999986</v>
      </c>
      <c r="X24" s="277">
        <f t="shared" si="10"/>
        <v>67.649999999999991</v>
      </c>
    </row>
    <row r="25" spans="2:24" x14ac:dyDescent="0.25">
      <c r="N25" s="244">
        <f>Weather_Site!B31</f>
        <v>41282</v>
      </c>
      <c r="O25" s="245">
        <f>Weather_Site!C31</f>
        <v>0</v>
      </c>
      <c r="P25" s="5">
        <f>Weather_Site!E31</f>
        <v>81.900000000000006</v>
      </c>
      <c r="Q25" s="245">
        <f t="shared" si="4"/>
        <v>4.166666666666663E-2</v>
      </c>
      <c r="R25" s="5">
        <f t="shared" si="5"/>
        <v>1</v>
      </c>
      <c r="S25" s="5">
        <f t="shared" si="1"/>
        <v>0</v>
      </c>
      <c r="T25" s="247">
        <f t="shared" si="6"/>
        <v>83.75</v>
      </c>
      <c r="U25" s="5">
        <f t="shared" si="7"/>
        <v>13.75</v>
      </c>
      <c r="V25" s="247">
        <f t="shared" si="8"/>
        <v>63.999999999999986</v>
      </c>
      <c r="W25" s="276">
        <f t="shared" si="9"/>
        <v>63.999999999999986</v>
      </c>
      <c r="X25" s="277">
        <f t="shared" si="10"/>
        <v>67.649999999999991</v>
      </c>
    </row>
    <row r="26" spans="2:24" x14ac:dyDescent="0.25">
      <c r="N26" s="244">
        <f>Weather_Site!B32</f>
        <v>41282</v>
      </c>
      <c r="O26" s="245">
        <f>Weather_Site!C32</f>
        <v>4.1666666666666664E-2</v>
      </c>
      <c r="P26" s="5">
        <f>Weather_Site!E32</f>
        <v>77.400000000000006</v>
      </c>
      <c r="Q26" s="245">
        <f t="shared" si="4"/>
        <v>4.1666666666666664E-2</v>
      </c>
      <c r="R26" s="5">
        <f t="shared" si="5"/>
        <v>1</v>
      </c>
      <c r="S26" s="5">
        <f t="shared" si="1"/>
        <v>1</v>
      </c>
      <c r="T26" s="247">
        <f t="shared" si="6"/>
        <v>79.650000000000006</v>
      </c>
      <c r="U26" s="5">
        <f t="shared" si="7"/>
        <v>9.6500000000000057</v>
      </c>
      <c r="V26" s="247">
        <f t="shared" si="8"/>
        <v>73.649999999999991</v>
      </c>
      <c r="W26" s="276">
        <f t="shared" si="9"/>
        <v>73.649999999999991</v>
      </c>
      <c r="X26" s="277">
        <f t="shared" si="10"/>
        <v>67.649999999999991</v>
      </c>
    </row>
    <row r="27" spans="2:24" x14ac:dyDescent="0.25">
      <c r="N27" s="244">
        <f>Weather_Site!B33</f>
        <v>41282</v>
      </c>
      <c r="O27" s="245">
        <f>Weather_Site!C33</f>
        <v>8.3333333333333329E-2</v>
      </c>
      <c r="P27" s="5">
        <f>Weather_Site!E33</f>
        <v>70.099999999999994</v>
      </c>
      <c r="Q27" s="245">
        <f t="shared" si="4"/>
        <v>4.1666666666666664E-2</v>
      </c>
      <c r="R27" s="5">
        <f t="shared" si="5"/>
        <v>1</v>
      </c>
      <c r="S27" s="5">
        <f t="shared" si="1"/>
        <v>2</v>
      </c>
      <c r="T27" s="247">
        <f t="shared" si="6"/>
        <v>73.75</v>
      </c>
      <c r="U27" s="5">
        <f t="shared" si="7"/>
        <v>3.75</v>
      </c>
      <c r="V27" s="247">
        <f t="shared" si="8"/>
        <v>77.399999999999991</v>
      </c>
      <c r="W27" s="276">
        <f t="shared" si="9"/>
        <v>77.399999999999991</v>
      </c>
      <c r="X27" s="277">
        <f t="shared" si="10"/>
        <v>67.649999999999991</v>
      </c>
    </row>
    <row r="28" spans="2:24" x14ac:dyDescent="0.25">
      <c r="N28" s="244">
        <f>Weather_Site!B34</f>
        <v>41282</v>
      </c>
      <c r="O28" s="245">
        <f>Weather_Site!C34</f>
        <v>0.125</v>
      </c>
      <c r="P28" s="5">
        <f>Weather_Site!E34</f>
        <v>60</v>
      </c>
      <c r="Q28" s="245">
        <f t="shared" si="4"/>
        <v>4.1666666666666671E-2</v>
      </c>
      <c r="R28" s="5">
        <f t="shared" si="5"/>
        <v>1</v>
      </c>
      <c r="S28" s="5">
        <f t="shared" si="1"/>
        <v>3</v>
      </c>
      <c r="T28" s="247">
        <f t="shared" si="6"/>
        <v>65.05</v>
      </c>
      <c r="U28" s="5">
        <f t="shared" si="7"/>
        <v>0</v>
      </c>
      <c r="V28" s="247">
        <f t="shared" si="8"/>
        <v>77.399999999999991</v>
      </c>
      <c r="W28" s="276">
        <f t="shared" si="9"/>
        <v>77.399999999999991</v>
      </c>
      <c r="X28" s="277">
        <f t="shared" si="10"/>
        <v>67.649999999999991</v>
      </c>
    </row>
    <row r="29" spans="2:24" x14ac:dyDescent="0.25">
      <c r="N29" s="244">
        <f>Weather_Site!B35</f>
        <v>41282</v>
      </c>
      <c r="O29" s="245">
        <f>Weather_Site!C35</f>
        <v>0.16666666666666666</v>
      </c>
      <c r="P29" s="5">
        <f>Weather_Site!E35</f>
        <v>51.1</v>
      </c>
      <c r="Q29" s="245">
        <f t="shared" si="4"/>
        <v>4.1666666666666657E-2</v>
      </c>
      <c r="R29" s="5">
        <f t="shared" si="5"/>
        <v>1</v>
      </c>
      <c r="S29" s="5">
        <f t="shared" si="1"/>
        <v>4</v>
      </c>
      <c r="T29" s="247">
        <f t="shared" si="6"/>
        <v>55.55</v>
      </c>
      <c r="U29" s="5">
        <f t="shared" si="7"/>
        <v>0</v>
      </c>
      <c r="V29" s="247">
        <f t="shared" si="8"/>
        <v>77.399999999999991</v>
      </c>
      <c r="W29" s="276">
        <f t="shared" si="9"/>
        <v>77.399999999999991</v>
      </c>
      <c r="X29" s="277">
        <f t="shared" si="10"/>
        <v>67.649999999999991</v>
      </c>
    </row>
    <row r="30" spans="2:24" x14ac:dyDescent="0.25">
      <c r="N30" s="244">
        <f>Weather_Site!B36</f>
        <v>41282</v>
      </c>
      <c r="O30" s="245">
        <f>Weather_Site!C36</f>
        <v>0.20833333333333334</v>
      </c>
      <c r="P30" s="5">
        <f>Weather_Site!E36</f>
        <v>44.9</v>
      </c>
      <c r="Q30" s="245">
        <f t="shared" si="4"/>
        <v>4.1666666666666685E-2</v>
      </c>
      <c r="R30" s="5">
        <f t="shared" si="5"/>
        <v>1</v>
      </c>
      <c r="S30" s="5">
        <f t="shared" si="1"/>
        <v>5</v>
      </c>
      <c r="T30" s="247">
        <f t="shared" si="6"/>
        <v>48</v>
      </c>
      <c r="U30" s="5">
        <f t="shared" si="7"/>
        <v>0</v>
      </c>
      <c r="V30" s="247">
        <f t="shared" si="8"/>
        <v>77.399999999999991</v>
      </c>
      <c r="W30" s="276">
        <f t="shared" si="9"/>
        <v>77.399999999999991</v>
      </c>
      <c r="X30" s="277">
        <f t="shared" si="10"/>
        <v>67.649999999999991</v>
      </c>
    </row>
    <row r="31" spans="2:24" x14ac:dyDescent="0.25">
      <c r="N31" s="244">
        <f>Weather_Site!B37</f>
        <v>41282</v>
      </c>
      <c r="O31" s="245">
        <f>Weather_Site!C37</f>
        <v>0.25</v>
      </c>
      <c r="P31" s="5">
        <f>Weather_Site!E37</f>
        <v>52</v>
      </c>
      <c r="Q31" s="245">
        <f t="shared" si="4"/>
        <v>4.1666666666666657E-2</v>
      </c>
      <c r="R31" s="5">
        <f t="shared" si="5"/>
        <v>1</v>
      </c>
      <c r="S31" s="5">
        <f t="shared" si="1"/>
        <v>6</v>
      </c>
      <c r="T31" s="247">
        <f t="shared" si="6"/>
        <v>48.45</v>
      </c>
      <c r="U31" s="5">
        <f t="shared" si="7"/>
        <v>0</v>
      </c>
      <c r="V31" s="247">
        <f t="shared" si="8"/>
        <v>77.399999999999991</v>
      </c>
      <c r="W31" s="276">
        <f t="shared" si="9"/>
        <v>77.399999999999991</v>
      </c>
      <c r="X31" s="277">
        <f t="shared" si="10"/>
        <v>67.649999999999991</v>
      </c>
    </row>
    <row r="32" spans="2:24" x14ac:dyDescent="0.25">
      <c r="N32" s="244">
        <f>Weather_Site!B38</f>
        <v>41282</v>
      </c>
      <c r="O32" s="245">
        <f>Weather_Site!C38</f>
        <v>0.29166666666666669</v>
      </c>
      <c r="P32" s="5">
        <f>Weather_Site!E38</f>
        <v>43.2</v>
      </c>
      <c r="Q32" s="245">
        <f t="shared" si="4"/>
        <v>4.1666666666666685E-2</v>
      </c>
      <c r="R32" s="5">
        <f t="shared" si="5"/>
        <v>1</v>
      </c>
      <c r="S32" s="5">
        <f t="shared" si="1"/>
        <v>7</v>
      </c>
      <c r="T32" s="247">
        <f t="shared" si="6"/>
        <v>47.6</v>
      </c>
      <c r="U32" s="5">
        <f t="shared" si="7"/>
        <v>0</v>
      </c>
      <c r="V32" s="247">
        <f t="shared" si="8"/>
        <v>77.399999999999991</v>
      </c>
      <c r="W32" s="276">
        <f t="shared" si="9"/>
        <v>77.399999999999991</v>
      </c>
      <c r="X32" s="277">
        <f t="shared" si="10"/>
        <v>67.649999999999991</v>
      </c>
    </row>
    <row r="33" spans="14:24" x14ac:dyDescent="0.25">
      <c r="N33" s="244">
        <f>Weather_Site!B39</f>
        <v>41282</v>
      </c>
      <c r="O33" s="245">
        <f>Weather_Site!C39</f>
        <v>0.33333333333333331</v>
      </c>
      <c r="P33" s="5">
        <f>Weather_Site!E39</f>
        <v>34.700000000000003</v>
      </c>
      <c r="Q33" s="245">
        <f t="shared" si="4"/>
        <v>4.166666666666663E-2</v>
      </c>
      <c r="R33" s="5">
        <f t="shared" si="5"/>
        <v>1</v>
      </c>
      <c r="S33" s="5">
        <f t="shared" si="1"/>
        <v>8</v>
      </c>
      <c r="T33" s="247">
        <f t="shared" si="6"/>
        <v>38.950000000000003</v>
      </c>
      <c r="U33" s="5">
        <f t="shared" si="7"/>
        <v>0</v>
      </c>
      <c r="V33" s="247">
        <f t="shared" si="8"/>
        <v>77.399999999999991</v>
      </c>
      <c r="W33" s="276">
        <f t="shared" si="9"/>
        <v>77.399999999999991</v>
      </c>
      <c r="X33" s="277">
        <f t="shared" si="10"/>
        <v>77.399999999999991</v>
      </c>
    </row>
    <row r="34" spans="14:24" x14ac:dyDescent="0.25">
      <c r="N34" s="244">
        <f>Weather_Site!B40</f>
        <v>41282</v>
      </c>
      <c r="O34" s="245">
        <f>Weather_Site!C40</f>
        <v>0.375</v>
      </c>
      <c r="P34" s="5">
        <f>Weather_Site!E40</f>
        <v>25.1</v>
      </c>
      <c r="Q34" s="245">
        <f t="shared" si="4"/>
        <v>0</v>
      </c>
      <c r="R34" s="5">
        <f t="shared" si="5"/>
        <v>0</v>
      </c>
      <c r="S34" s="5">
        <f t="shared" si="1"/>
        <v>9</v>
      </c>
      <c r="T34" s="247">
        <f t="shared" si="6"/>
        <v>0</v>
      </c>
      <c r="U34" s="5">
        <f t="shared" si="7"/>
        <v>0</v>
      </c>
      <c r="V34" s="247">
        <f t="shared" si="8"/>
        <v>77.399999999999991</v>
      </c>
      <c r="W34" s="276">
        <f t="shared" si="9"/>
        <v>77.399999999999991</v>
      </c>
      <c r="X34" s="277">
        <f t="shared" si="10"/>
        <v>77.399999999999991</v>
      </c>
    </row>
    <row r="35" spans="14:24" x14ac:dyDescent="0.25">
      <c r="N35" s="244">
        <f>Weather_Site!B41</f>
        <v>41282</v>
      </c>
      <c r="O35" s="245">
        <f>Weather_Site!C41</f>
        <v>0.41666666666666669</v>
      </c>
      <c r="P35" s="5">
        <f>Weather_Site!E41</f>
        <v>17.5</v>
      </c>
      <c r="Q35" s="245">
        <f t="shared" si="4"/>
        <v>0</v>
      </c>
      <c r="R35" s="5">
        <f t="shared" si="5"/>
        <v>0</v>
      </c>
      <c r="S35" s="5">
        <f t="shared" si="1"/>
        <v>10</v>
      </c>
      <c r="T35" s="247">
        <f t="shared" si="6"/>
        <v>0</v>
      </c>
      <c r="U35" s="5">
        <f t="shared" si="7"/>
        <v>0</v>
      </c>
      <c r="V35" s="247">
        <f t="shared" si="8"/>
        <v>77.399999999999991</v>
      </c>
      <c r="W35" s="276">
        <f t="shared" si="9"/>
        <v>77.399999999999991</v>
      </c>
      <c r="X35" s="277">
        <f>IF(AND(O34&lt;0.333,O35&gt;=0.333),W35,X34)</f>
        <v>77.399999999999991</v>
      </c>
    </row>
    <row r="36" spans="14:24" x14ac:dyDescent="0.25">
      <c r="N36" s="244">
        <f>Weather_Site!B42</f>
        <v>41282</v>
      </c>
      <c r="O36" s="245">
        <f>Weather_Site!C42</f>
        <v>0.45833333333333331</v>
      </c>
      <c r="P36" s="5">
        <f>Weather_Site!E42</f>
        <v>12.8</v>
      </c>
      <c r="Q36" s="245">
        <f t="shared" si="4"/>
        <v>0</v>
      </c>
      <c r="R36" s="5">
        <f t="shared" si="5"/>
        <v>0</v>
      </c>
      <c r="S36" s="5">
        <f t="shared" si="1"/>
        <v>11</v>
      </c>
      <c r="T36" s="247">
        <f t="shared" si="6"/>
        <v>0</v>
      </c>
      <c r="U36" s="5">
        <f t="shared" si="7"/>
        <v>0</v>
      </c>
      <c r="V36" s="247">
        <f t="shared" si="8"/>
        <v>77.399999999999991</v>
      </c>
      <c r="W36" s="276">
        <f t="shared" si="9"/>
        <v>77.399999999999991</v>
      </c>
      <c r="X36" s="277">
        <f t="shared" ref="X36:X99" si="11">IF(AND(O35&lt;0.333,O36&gt;=0.333),W36,X35)</f>
        <v>77.399999999999991</v>
      </c>
    </row>
    <row r="37" spans="14:24" x14ac:dyDescent="0.25">
      <c r="N37" s="244">
        <f>Weather_Site!B43</f>
        <v>41282</v>
      </c>
      <c r="O37" s="245">
        <f>Weather_Site!C43</f>
        <v>0.5</v>
      </c>
      <c r="P37" s="5">
        <f>Weather_Site!E43</f>
        <v>11.4</v>
      </c>
      <c r="Q37" s="245">
        <f t="shared" ref="Q37:Q100" si="12">IF((O37-O36)&lt;0,(1-MAX(O36,0.625))+MIN(O37,0.334),(IF(O36&lt;0.333,(MIN(O37,0.334)-O36),IF(O37&gt;0.625,MAX(O37,0.625)-O36,0))))</f>
        <v>0</v>
      </c>
      <c r="R37" s="5">
        <f t="shared" si="5"/>
        <v>0</v>
      </c>
      <c r="S37" s="5">
        <f t="shared" ref="S37:S100" si="13">HOUR(O37)</f>
        <v>12</v>
      </c>
      <c r="T37" s="247">
        <f t="shared" ref="T37:T100" si="14">(P37+P36)/2*R37</f>
        <v>0</v>
      </c>
      <c r="U37" s="5">
        <f t="shared" si="7"/>
        <v>0</v>
      </c>
      <c r="V37" s="247">
        <f t="shared" si="8"/>
        <v>0</v>
      </c>
      <c r="W37" s="276">
        <f t="shared" si="9"/>
        <v>77.399999999999991</v>
      </c>
      <c r="X37" s="277">
        <f t="shared" si="11"/>
        <v>77.399999999999991</v>
      </c>
    </row>
    <row r="38" spans="14:24" x14ac:dyDescent="0.25">
      <c r="N38" s="244">
        <f>Weather_Site!B44</f>
        <v>41282</v>
      </c>
      <c r="O38" s="245">
        <f>Weather_Site!C44</f>
        <v>0.54166666666666663</v>
      </c>
      <c r="P38" s="5">
        <f>Weather_Site!E44</f>
        <v>10.6</v>
      </c>
      <c r="Q38" s="245">
        <f t="shared" si="12"/>
        <v>0</v>
      </c>
      <c r="R38" s="5">
        <f t="shared" si="5"/>
        <v>0</v>
      </c>
      <c r="S38" s="5">
        <f t="shared" si="13"/>
        <v>13</v>
      </c>
      <c r="T38" s="247">
        <f t="shared" si="14"/>
        <v>0</v>
      </c>
      <c r="U38" s="5">
        <f t="shared" si="7"/>
        <v>0</v>
      </c>
      <c r="V38" s="247">
        <f t="shared" si="8"/>
        <v>0</v>
      </c>
      <c r="W38" s="276">
        <f t="shared" si="9"/>
        <v>77.399999999999991</v>
      </c>
      <c r="X38" s="277">
        <f t="shared" si="11"/>
        <v>77.399999999999991</v>
      </c>
    </row>
    <row r="39" spans="14:24" x14ac:dyDescent="0.25">
      <c r="N39" s="244">
        <f>Weather_Site!B45</f>
        <v>41282</v>
      </c>
      <c r="O39" s="245">
        <f>Weather_Site!C45</f>
        <v>0.58333333333333337</v>
      </c>
      <c r="P39" s="5">
        <f>Weather_Site!E45</f>
        <v>9.9</v>
      </c>
      <c r="Q39" s="245">
        <f t="shared" si="12"/>
        <v>0</v>
      </c>
      <c r="R39" s="5">
        <f t="shared" si="5"/>
        <v>0</v>
      </c>
      <c r="S39" s="5">
        <f t="shared" si="13"/>
        <v>14</v>
      </c>
      <c r="T39" s="247">
        <f t="shared" si="14"/>
        <v>0</v>
      </c>
      <c r="U39" s="5">
        <f t="shared" si="7"/>
        <v>0</v>
      </c>
      <c r="V39" s="247">
        <f t="shared" si="8"/>
        <v>0</v>
      </c>
      <c r="W39" s="276">
        <f t="shared" si="9"/>
        <v>77.399999999999991</v>
      </c>
      <c r="X39" s="277">
        <f t="shared" si="11"/>
        <v>77.399999999999991</v>
      </c>
    </row>
    <row r="40" spans="14:24" x14ac:dyDescent="0.25">
      <c r="N40" s="244">
        <f>Weather_Site!B46</f>
        <v>41282</v>
      </c>
      <c r="O40" s="245">
        <f>Weather_Site!C46</f>
        <v>0.625</v>
      </c>
      <c r="P40" s="5">
        <f>Weather_Site!E46</f>
        <v>9.5</v>
      </c>
      <c r="Q40" s="245">
        <f t="shared" si="12"/>
        <v>0</v>
      </c>
      <c r="R40" s="5">
        <f t="shared" si="5"/>
        <v>0</v>
      </c>
      <c r="S40" s="5">
        <f t="shared" si="13"/>
        <v>15</v>
      </c>
      <c r="T40" s="247">
        <f t="shared" si="14"/>
        <v>0</v>
      </c>
      <c r="U40" s="5">
        <f t="shared" si="7"/>
        <v>0</v>
      </c>
      <c r="V40" s="247">
        <f t="shared" si="8"/>
        <v>0</v>
      </c>
      <c r="W40" s="276">
        <f t="shared" si="9"/>
        <v>77.399999999999991</v>
      </c>
      <c r="X40" s="277">
        <f t="shared" si="11"/>
        <v>77.399999999999991</v>
      </c>
    </row>
    <row r="41" spans="14:24" x14ac:dyDescent="0.25">
      <c r="N41" s="244">
        <f>Weather_Site!B47</f>
        <v>41282</v>
      </c>
      <c r="O41" s="245">
        <f>Weather_Site!C47</f>
        <v>0.66666666666666663</v>
      </c>
      <c r="P41" s="5">
        <f>Weather_Site!E47</f>
        <v>9.3000000000000007</v>
      </c>
      <c r="Q41" s="245">
        <f t="shared" si="12"/>
        <v>4.166666666666663E-2</v>
      </c>
      <c r="R41" s="5">
        <f t="shared" si="5"/>
        <v>1</v>
      </c>
      <c r="S41" s="5">
        <f t="shared" si="13"/>
        <v>16</v>
      </c>
      <c r="T41" s="247">
        <f t="shared" si="14"/>
        <v>9.4</v>
      </c>
      <c r="U41" s="5">
        <f t="shared" si="7"/>
        <v>0</v>
      </c>
      <c r="V41" s="247">
        <f t="shared" si="8"/>
        <v>0</v>
      </c>
      <c r="W41" s="276">
        <f t="shared" si="9"/>
        <v>77.399999999999991</v>
      </c>
      <c r="X41" s="277">
        <f t="shared" si="11"/>
        <v>77.399999999999991</v>
      </c>
    </row>
    <row r="42" spans="14:24" x14ac:dyDescent="0.25">
      <c r="N42" s="244">
        <f>Weather_Site!B48</f>
        <v>41282</v>
      </c>
      <c r="O42" s="245">
        <f>Weather_Site!C48</f>
        <v>0.70833333333333337</v>
      </c>
      <c r="P42" s="5">
        <f>Weather_Site!E48</f>
        <v>9.8000000000000007</v>
      </c>
      <c r="Q42" s="245">
        <f t="shared" si="12"/>
        <v>4.1666666666666741E-2</v>
      </c>
      <c r="R42" s="5">
        <f t="shared" si="5"/>
        <v>1</v>
      </c>
      <c r="S42" s="5">
        <f t="shared" si="13"/>
        <v>17</v>
      </c>
      <c r="T42" s="247">
        <f t="shared" si="14"/>
        <v>9.5500000000000007</v>
      </c>
      <c r="U42" s="5">
        <f t="shared" si="7"/>
        <v>0</v>
      </c>
      <c r="V42" s="247">
        <f t="shared" si="8"/>
        <v>0</v>
      </c>
      <c r="W42" s="276">
        <f t="shared" si="9"/>
        <v>77.399999999999991</v>
      </c>
      <c r="X42" s="277">
        <f t="shared" si="11"/>
        <v>77.399999999999991</v>
      </c>
    </row>
    <row r="43" spans="14:24" x14ac:dyDescent="0.25">
      <c r="N43" s="244">
        <f>Weather_Site!B49</f>
        <v>41282</v>
      </c>
      <c r="O43" s="245">
        <f>Weather_Site!C49</f>
        <v>0.75</v>
      </c>
      <c r="P43" s="5">
        <f>Weather_Site!E49</f>
        <v>13.8</v>
      </c>
      <c r="Q43" s="245">
        <f t="shared" si="12"/>
        <v>4.166666666666663E-2</v>
      </c>
      <c r="R43" s="5">
        <f t="shared" si="5"/>
        <v>1</v>
      </c>
      <c r="S43" s="5">
        <f t="shared" si="13"/>
        <v>18</v>
      </c>
      <c r="T43" s="247">
        <f t="shared" si="14"/>
        <v>11.8</v>
      </c>
      <c r="U43" s="5">
        <f t="shared" si="7"/>
        <v>0</v>
      </c>
      <c r="V43" s="247">
        <f t="shared" si="8"/>
        <v>0</v>
      </c>
      <c r="W43" s="276">
        <f t="shared" si="9"/>
        <v>0</v>
      </c>
      <c r="X43" s="277">
        <f t="shared" si="11"/>
        <v>77.399999999999991</v>
      </c>
    </row>
    <row r="44" spans="14:24" x14ac:dyDescent="0.25">
      <c r="N44" s="244">
        <f>Weather_Site!B50</f>
        <v>41282</v>
      </c>
      <c r="O44" s="245">
        <f>Weather_Site!C50</f>
        <v>0.79166666666666663</v>
      </c>
      <c r="P44" s="5">
        <f>Weather_Site!E50</f>
        <v>20.399999999999999</v>
      </c>
      <c r="Q44" s="245">
        <f t="shared" si="12"/>
        <v>4.166666666666663E-2</v>
      </c>
      <c r="R44" s="5">
        <f t="shared" si="5"/>
        <v>1</v>
      </c>
      <c r="S44" s="5">
        <f t="shared" si="13"/>
        <v>19</v>
      </c>
      <c r="T44" s="247">
        <f t="shared" si="14"/>
        <v>17.100000000000001</v>
      </c>
      <c r="U44" s="5">
        <f t="shared" si="7"/>
        <v>0</v>
      </c>
      <c r="V44" s="247">
        <f t="shared" si="8"/>
        <v>0</v>
      </c>
      <c r="W44" s="276">
        <f t="shared" si="9"/>
        <v>0</v>
      </c>
      <c r="X44" s="277">
        <f t="shared" si="11"/>
        <v>77.399999999999991</v>
      </c>
    </row>
    <row r="45" spans="14:24" x14ac:dyDescent="0.25">
      <c r="N45" s="244">
        <f>Weather_Site!B51</f>
        <v>41282</v>
      </c>
      <c r="O45" s="245">
        <f>Weather_Site!C51</f>
        <v>0.83333333333333337</v>
      </c>
      <c r="P45" s="5">
        <f>Weather_Site!E51</f>
        <v>28.4</v>
      </c>
      <c r="Q45" s="245">
        <f t="shared" si="12"/>
        <v>4.1666666666666741E-2</v>
      </c>
      <c r="R45" s="5">
        <f t="shared" si="5"/>
        <v>1</v>
      </c>
      <c r="S45" s="5">
        <f t="shared" si="13"/>
        <v>20</v>
      </c>
      <c r="T45" s="247">
        <f t="shared" si="14"/>
        <v>24.4</v>
      </c>
      <c r="U45" s="5">
        <f t="shared" si="7"/>
        <v>0</v>
      </c>
      <c r="V45" s="247">
        <f t="shared" si="8"/>
        <v>0</v>
      </c>
      <c r="W45" s="276">
        <f t="shared" si="9"/>
        <v>0</v>
      </c>
      <c r="X45" s="277">
        <f t="shared" si="11"/>
        <v>77.399999999999991</v>
      </c>
    </row>
    <row r="46" spans="14:24" x14ac:dyDescent="0.25">
      <c r="N46" s="244">
        <f>Weather_Site!B52</f>
        <v>41282</v>
      </c>
      <c r="O46" s="245">
        <f>Weather_Site!C52</f>
        <v>0.875</v>
      </c>
      <c r="P46" s="5">
        <f>Weather_Site!E52</f>
        <v>34.700000000000003</v>
      </c>
      <c r="Q46" s="245">
        <f t="shared" si="12"/>
        <v>4.166666666666663E-2</v>
      </c>
      <c r="R46" s="5">
        <f t="shared" si="5"/>
        <v>1</v>
      </c>
      <c r="S46" s="5">
        <f t="shared" si="13"/>
        <v>21</v>
      </c>
      <c r="T46" s="247">
        <f t="shared" si="14"/>
        <v>31.55</v>
      </c>
      <c r="U46" s="5">
        <f t="shared" si="7"/>
        <v>0</v>
      </c>
      <c r="V46" s="247">
        <f t="shared" si="8"/>
        <v>0</v>
      </c>
      <c r="W46" s="276">
        <f t="shared" si="9"/>
        <v>0</v>
      </c>
      <c r="X46" s="277">
        <f t="shared" si="11"/>
        <v>77.399999999999991</v>
      </c>
    </row>
    <row r="47" spans="14:24" x14ac:dyDescent="0.25">
      <c r="N47" s="244">
        <f>Weather_Site!B53</f>
        <v>41282</v>
      </c>
      <c r="O47" s="245">
        <f>Weather_Site!C53</f>
        <v>0.91666666666666663</v>
      </c>
      <c r="P47" s="5">
        <f>Weather_Site!E53</f>
        <v>39.4</v>
      </c>
      <c r="Q47" s="245">
        <f t="shared" si="12"/>
        <v>4.166666666666663E-2</v>
      </c>
      <c r="R47" s="5">
        <f t="shared" si="5"/>
        <v>1</v>
      </c>
      <c r="S47" s="5">
        <f t="shared" si="13"/>
        <v>22</v>
      </c>
      <c r="T47" s="247">
        <f t="shared" si="14"/>
        <v>37.049999999999997</v>
      </c>
      <c r="U47" s="5">
        <f t="shared" si="7"/>
        <v>0</v>
      </c>
      <c r="V47" s="247">
        <f t="shared" si="8"/>
        <v>0</v>
      </c>
      <c r="W47" s="276">
        <f t="shared" si="9"/>
        <v>0</v>
      </c>
      <c r="X47" s="277">
        <f t="shared" si="11"/>
        <v>77.399999999999991</v>
      </c>
    </row>
    <row r="48" spans="14:24" x14ac:dyDescent="0.25">
      <c r="N48" s="244">
        <f>Weather_Site!B54</f>
        <v>41282</v>
      </c>
      <c r="O48" s="245">
        <f>Weather_Site!C54</f>
        <v>0.95833333333333337</v>
      </c>
      <c r="P48" s="5">
        <f>Weather_Site!E54</f>
        <v>42.6</v>
      </c>
      <c r="Q48" s="245">
        <f t="shared" si="12"/>
        <v>4.1666666666666741E-2</v>
      </c>
      <c r="R48" s="5">
        <f t="shared" si="5"/>
        <v>1</v>
      </c>
      <c r="S48" s="5">
        <f t="shared" si="13"/>
        <v>23</v>
      </c>
      <c r="T48" s="247">
        <f t="shared" si="14"/>
        <v>41</v>
      </c>
      <c r="U48" s="5">
        <f t="shared" si="7"/>
        <v>0</v>
      </c>
      <c r="V48" s="247">
        <f t="shared" si="8"/>
        <v>0</v>
      </c>
      <c r="W48" s="276">
        <f t="shared" si="9"/>
        <v>0</v>
      </c>
      <c r="X48" s="277">
        <f t="shared" si="11"/>
        <v>77.399999999999991</v>
      </c>
    </row>
    <row r="49" spans="14:24" x14ac:dyDescent="0.25">
      <c r="N49" s="244">
        <f>Weather_Site!B55</f>
        <v>41283</v>
      </c>
      <c r="O49" s="245">
        <f>Weather_Site!C55</f>
        <v>0</v>
      </c>
      <c r="P49" s="5">
        <f>Weather_Site!E55</f>
        <v>51.7</v>
      </c>
      <c r="Q49" s="245">
        <f t="shared" si="12"/>
        <v>4.166666666666663E-2</v>
      </c>
      <c r="R49" s="5">
        <f t="shared" si="5"/>
        <v>1</v>
      </c>
      <c r="S49" s="5">
        <f t="shared" si="13"/>
        <v>0</v>
      </c>
      <c r="T49" s="247">
        <f t="shared" si="14"/>
        <v>47.150000000000006</v>
      </c>
      <c r="U49" s="5">
        <f t="shared" si="7"/>
        <v>0</v>
      </c>
      <c r="V49" s="247">
        <f t="shared" si="8"/>
        <v>0</v>
      </c>
      <c r="W49" s="276">
        <f t="shared" si="9"/>
        <v>0</v>
      </c>
      <c r="X49" s="277">
        <f t="shared" si="11"/>
        <v>77.399999999999991</v>
      </c>
    </row>
    <row r="50" spans="14:24" x14ac:dyDescent="0.25">
      <c r="N50" s="244">
        <f>Weather_Site!B56</f>
        <v>41283</v>
      </c>
      <c r="O50" s="245">
        <f>Weather_Site!C56</f>
        <v>4.1666666666666664E-2</v>
      </c>
      <c r="P50" s="5">
        <f>Weather_Site!E56</f>
        <v>62.1</v>
      </c>
      <c r="Q50" s="245">
        <f t="shared" si="12"/>
        <v>4.1666666666666664E-2</v>
      </c>
      <c r="R50" s="5">
        <f t="shared" si="5"/>
        <v>1</v>
      </c>
      <c r="S50" s="5">
        <f t="shared" si="13"/>
        <v>1</v>
      </c>
      <c r="T50" s="247">
        <f t="shared" si="14"/>
        <v>56.900000000000006</v>
      </c>
      <c r="U50" s="5">
        <f t="shared" si="7"/>
        <v>0</v>
      </c>
      <c r="V50" s="247">
        <f t="shared" si="8"/>
        <v>0</v>
      </c>
      <c r="W50" s="276">
        <f t="shared" si="9"/>
        <v>0</v>
      </c>
      <c r="X50" s="277">
        <f t="shared" si="11"/>
        <v>77.399999999999991</v>
      </c>
    </row>
    <row r="51" spans="14:24" x14ac:dyDescent="0.25">
      <c r="N51" s="244">
        <f>Weather_Site!B57</f>
        <v>41283</v>
      </c>
      <c r="O51" s="245">
        <f>Weather_Site!C57</f>
        <v>8.3333333333333329E-2</v>
      </c>
      <c r="P51" s="5">
        <f>Weather_Site!E57</f>
        <v>74.8</v>
      </c>
      <c r="Q51" s="245">
        <f t="shared" si="12"/>
        <v>4.1666666666666664E-2</v>
      </c>
      <c r="R51" s="5">
        <f t="shared" si="5"/>
        <v>1</v>
      </c>
      <c r="S51" s="5">
        <f t="shared" si="13"/>
        <v>2</v>
      </c>
      <c r="T51" s="247">
        <f t="shared" si="14"/>
        <v>68.45</v>
      </c>
      <c r="U51" s="5">
        <f t="shared" si="7"/>
        <v>0</v>
      </c>
      <c r="V51" s="247">
        <f t="shared" si="8"/>
        <v>0</v>
      </c>
      <c r="W51" s="276">
        <f t="shared" si="9"/>
        <v>0</v>
      </c>
      <c r="X51" s="277">
        <f t="shared" si="11"/>
        <v>77.399999999999991</v>
      </c>
    </row>
    <row r="52" spans="14:24" x14ac:dyDescent="0.25">
      <c r="N52" s="244">
        <f>Weather_Site!B58</f>
        <v>41283</v>
      </c>
      <c r="O52" s="245">
        <f>Weather_Site!C58</f>
        <v>0.125</v>
      </c>
      <c r="P52" s="5">
        <f>Weather_Site!E58</f>
        <v>74.3</v>
      </c>
      <c r="Q52" s="245">
        <f t="shared" si="12"/>
        <v>4.1666666666666671E-2</v>
      </c>
      <c r="R52" s="5">
        <f t="shared" si="5"/>
        <v>1</v>
      </c>
      <c r="S52" s="5">
        <f t="shared" si="13"/>
        <v>3</v>
      </c>
      <c r="T52" s="247">
        <f t="shared" si="14"/>
        <v>74.55</v>
      </c>
      <c r="U52" s="5">
        <f t="shared" si="7"/>
        <v>4.5499999999999972</v>
      </c>
      <c r="V52" s="247">
        <f t="shared" si="8"/>
        <v>4.5499999999999972</v>
      </c>
      <c r="W52" s="276">
        <f t="shared" si="9"/>
        <v>4.5499999999999972</v>
      </c>
      <c r="X52" s="277">
        <f t="shared" si="11"/>
        <v>77.399999999999991</v>
      </c>
    </row>
    <row r="53" spans="14:24" x14ac:dyDescent="0.25">
      <c r="N53" s="244">
        <f>Weather_Site!B59</f>
        <v>41283</v>
      </c>
      <c r="O53" s="245">
        <f>Weather_Site!C59</f>
        <v>0.16666666666666666</v>
      </c>
      <c r="P53" s="5">
        <f>Weather_Site!E59</f>
        <v>74.2</v>
      </c>
      <c r="Q53" s="245">
        <f t="shared" si="12"/>
        <v>4.1666666666666657E-2</v>
      </c>
      <c r="R53" s="5">
        <f t="shared" si="5"/>
        <v>1</v>
      </c>
      <c r="S53" s="5">
        <f t="shared" si="13"/>
        <v>4</v>
      </c>
      <c r="T53" s="247">
        <f t="shared" si="14"/>
        <v>74.25</v>
      </c>
      <c r="U53" s="5">
        <f t="shared" si="7"/>
        <v>4.25</v>
      </c>
      <c r="V53" s="247">
        <f t="shared" si="8"/>
        <v>8.7999999999999972</v>
      </c>
      <c r="W53" s="276">
        <f t="shared" si="9"/>
        <v>8.7999999999999972</v>
      </c>
      <c r="X53" s="277">
        <f t="shared" si="11"/>
        <v>77.399999999999991</v>
      </c>
    </row>
    <row r="54" spans="14:24" x14ac:dyDescent="0.25">
      <c r="N54" s="244">
        <f>Weather_Site!B60</f>
        <v>41283</v>
      </c>
      <c r="O54" s="245">
        <f>Weather_Site!C60</f>
        <v>0.20833333333333334</v>
      </c>
      <c r="P54" s="5">
        <f>Weather_Site!E60</f>
        <v>73.8</v>
      </c>
      <c r="Q54" s="245">
        <f t="shared" si="12"/>
        <v>4.1666666666666685E-2</v>
      </c>
      <c r="R54" s="5">
        <f t="shared" si="5"/>
        <v>1</v>
      </c>
      <c r="S54" s="5">
        <f t="shared" si="13"/>
        <v>5</v>
      </c>
      <c r="T54" s="247">
        <f t="shared" si="14"/>
        <v>74</v>
      </c>
      <c r="U54" s="5">
        <f t="shared" si="7"/>
        <v>4</v>
      </c>
      <c r="V54" s="247">
        <f t="shared" si="8"/>
        <v>12.799999999999997</v>
      </c>
      <c r="W54" s="276">
        <f t="shared" si="9"/>
        <v>12.799999999999997</v>
      </c>
      <c r="X54" s="277">
        <f t="shared" si="11"/>
        <v>77.399999999999991</v>
      </c>
    </row>
    <row r="55" spans="14:24" x14ac:dyDescent="0.25">
      <c r="N55" s="244">
        <f>Weather_Site!B61</f>
        <v>41283</v>
      </c>
      <c r="O55" s="245">
        <f>Weather_Site!C61</f>
        <v>0.25</v>
      </c>
      <c r="P55" s="5">
        <f>Weather_Site!E61</f>
        <v>72.599999999999994</v>
      </c>
      <c r="Q55" s="245">
        <f t="shared" si="12"/>
        <v>4.1666666666666657E-2</v>
      </c>
      <c r="R55" s="5">
        <f t="shared" si="5"/>
        <v>1</v>
      </c>
      <c r="S55" s="5">
        <f t="shared" si="13"/>
        <v>6</v>
      </c>
      <c r="T55" s="247">
        <f t="shared" si="14"/>
        <v>73.199999999999989</v>
      </c>
      <c r="U55" s="5">
        <f t="shared" si="7"/>
        <v>3.1999999999999886</v>
      </c>
      <c r="V55" s="247">
        <f t="shared" si="8"/>
        <v>15.999999999999986</v>
      </c>
      <c r="W55" s="276">
        <f t="shared" si="9"/>
        <v>15.999999999999986</v>
      </c>
      <c r="X55" s="277">
        <f t="shared" si="11"/>
        <v>77.399999999999991</v>
      </c>
    </row>
    <row r="56" spans="14:24" x14ac:dyDescent="0.25">
      <c r="N56" s="244">
        <f>Weather_Site!B62</f>
        <v>41283</v>
      </c>
      <c r="O56" s="245">
        <f>Weather_Site!C62</f>
        <v>0.29166666666666669</v>
      </c>
      <c r="P56" s="5">
        <f>Weather_Site!E62</f>
        <v>71.099999999999994</v>
      </c>
      <c r="Q56" s="245">
        <f t="shared" si="12"/>
        <v>4.1666666666666685E-2</v>
      </c>
      <c r="R56" s="5">
        <f t="shared" si="5"/>
        <v>1</v>
      </c>
      <c r="S56" s="5">
        <f t="shared" si="13"/>
        <v>7</v>
      </c>
      <c r="T56" s="247">
        <f t="shared" si="14"/>
        <v>71.849999999999994</v>
      </c>
      <c r="U56" s="5">
        <f t="shared" si="7"/>
        <v>1.8499999999999943</v>
      </c>
      <c r="V56" s="247">
        <f t="shared" si="8"/>
        <v>17.84999999999998</v>
      </c>
      <c r="W56" s="276">
        <f t="shared" si="9"/>
        <v>17.84999999999998</v>
      </c>
      <c r="X56" s="277">
        <f t="shared" si="11"/>
        <v>77.399999999999991</v>
      </c>
    </row>
    <row r="57" spans="14:24" x14ac:dyDescent="0.25">
      <c r="N57" s="244">
        <f>Weather_Site!B63</f>
        <v>41283</v>
      </c>
      <c r="O57" s="245">
        <f>Weather_Site!C63</f>
        <v>0.33333333333333331</v>
      </c>
      <c r="P57" s="5">
        <f>Weather_Site!E63</f>
        <v>70</v>
      </c>
      <c r="Q57" s="245">
        <f t="shared" si="12"/>
        <v>4.166666666666663E-2</v>
      </c>
      <c r="R57" s="5">
        <f t="shared" si="5"/>
        <v>1</v>
      </c>
      <c r="S57" s="5">
        <f t="shared" si="13"/>
        <v>8</v>
      </c>
      <c r="T57" s="247">
        <f t="shared" si="14"/>
        <v>70.55</v>
      </c>
      <c r="U57" s="5">
        <f t="shared" si="7"/>
        <v>0.54999999999999716</v>
      </c>
      <c r="V57" s="247">
        <f t="shared" si="8"/>
        <v>18.399999999999977</v>
      </c>
      <c r="W57" s="276">
        <f t="shared" si="9"/>
        <v>18.399999999999977</v>
      </c>
      <c r="X57" s="277">
        <f t="shared" si="11"/>
        <v>18.399999999999977</v>
      </c>
    </row>
    <row r="58" spans="14:24" x14ac:dyDescent="0.25">
      <c r="N58" s="244">
        <f>Weather_Site!B64</f>
        <v>41283</v>
      </c>
      <c r="O58" s="245">
        <f>Weather_Site!C64</f>
        <v>0.375</v>
      </c>
      <c r="P58" s="5">
        <f>Weather_Site!E64</f>
        <v>62.3</v>
      </c>
      <c r="Q58" s="245">
        <f t="shared" si="12"/>
        <v>0</v>
      </c>
      <c r="R58" s="5">
        <f t="shared" si="5"/>
        <v>0</v>
      </c>
      <c r="S58" s="5">
        <f t="shared" si="13"/>
        <v>9</v>
      </c>
      <c r="T58" s="247">
        <f t="shared" si="14"/>
        <v>0</v>
      </c>
      <c r="U58" s="5">
        <f t="shared" si="7"/>
        <v>0</v>
      </c>
      <c r="V58" s="247">
        <f t="shared" si="8"/>
        <v>18.399999999999977</v>
      </c>
      <c r="W58" s="276">
        <f t="shared" si="9"/>
        <v>18.399999999999977</v>
      </c>
      <c r="X58" s="277">
        <f t="shared" si="11"/>
        <v>18.399999999999977</v>
      </c>
    </row>
    <row r="59" spans="14:24" x14ac:dyDescent="0.25">
      <c r="N59" s="244">
        <f>Weather_Site!B65</f>
        <v>41283</v>
      </c>
      <c r="O59" s="245">
        <f>Weather_Site!C65</f>
        <v>0.41666666666666669</v>
      </c>
      <c r="P59" s="5">
        <f>Weather_Site!E65</f>
        <v>55.5</v>
      </c>
      <c r="Q59" s="245">
        <f t="shared" si="12"/>
        <v>0</v>
      </c>
      <c r="R59" s="5">
        <f t="shared" si="5"/>
        <v>0</v>
      </c>
      <c r="S59" s="5">
        <f t="shared" si="13"/>
        <v>10</v>
      </c>
      <c r="T59" s="247">
        <f t="shared" si="14"/>
        <v>0</v>
      </c>
      <c r="U59" s="5">
        <f t="shared" si="7"/>
        <v>0</v>
      </c>
      <c r="V59" s="247">
        <f t="shared" si="8"/>
        <v>18.399999999999977</v>
      </c>
      <c r="W59" s="276">
        <f t="shared" si="9"/>
        <v>18.399999999999977</v>
      </c>
      <c r="X59" s="277">
        <f t="shared" si="11"/>
        <v>18.399999999999977</v>
      </c>
    </row>
    <row r="60" spans="14:24" x14ac:dyDescent="0.25">
      <c r="N60" s="244">
        <f>Weather_Site!B66</f>
        <v>41283</v>
      </c>
      <c r="O60" s="245">
        <f>Weather_Site!C66</f>
        <v>0.45833333333333331</v>
      </c>
      <c r="P60" s="5">
        <f>Weather_Site!E66</f>
        <v>49.4</v>
      </c>
      <c r="Q60" s="245">
        <f t="shared" si="12"/>
        <v>0</v>
      </c>
      <c r="R60" s="5">
        <f t="shared" si="5"/>
        <v>0</v>
      </c>
      <c r="S60" s="5">
        <f t="shared" si="13"/>
        <v>11</v>
      </c>
      <c r="T60" s="247">
        <f t="shared" si="14"/>
        <v>0</v>
      </c>
      <c r="U60" s="5">
        <f t="shared" si="7"/>
        <v>0</v>
      </c>
      <c r="V60" s="247">
        <f t="shared" si="8"/>
        <v>18.399999999999977</v>
      </c>
      <c r="W60" s="276">
        <f t="shared" si="9"/>
        <v>18.399999999999977</v>
      </c>
      <c r="X60" s="277">
        <f t="shared" si="11"/>
        <v>18.399999999999977</v>
      </c>
    </row>
    <row r="61" spans="14:24" x14ac:dyDescent="0.25">
      <c r="N61" s="244">
        <f>Weather_Site!B67</f>
        <v>41283</v>
      </c>
      <c r="O61" s="245">
        <f>Weather_Site!C67</f>
        <v>0.5</v>
      </c>
      <c r="P61" s="5">
        <f>Weather_Site!E67</f>
        <v>44.7</v>
      </c>
      <c r="Q61" s="245">
        <f t="shared" si="12"/>
        <v>0</v>
      </c>
      <c r="R61" s="5">
        <f t="shared" si="5"/>
        <v>0</v>
      </c>
      <c r="S61" s="5">
        <f t="shared" si="13"/>
        <v>12</v>
      </c>
      <c r="T61" s="247">
        <f t="shared" si="14"/>
        <v>0</v>
      </c>
      <c r="U61" s="5">
        <f t="shared" si="7"/>
        <v>0</v>
      </c>
      <c r="V61" s="247">
        <f t="shared" si="8"/>
        <v>0</v>
      </c>
      <c r="W61" s="276">
        <f t="shared" si="9"/>
        <v>18.399999999999977</v>
      </c>
      <c r="X61" s="277">
        <f t="shared" si="11"/>
        <v>18.399999999999977</v>
      </c>
    </row>
    <row r="62" spans="14:24" x14ac:dyDescent="0.25">
      <c r="N62" s="244">
        <f>Weather_Site!B68</f>
        <v>41283</v>
      </c>
      <c r="O62" s="245">
        <f>Weather_Site!C68</f>
        <v>0.54166666666666663</v>
      </c>
      <c r="P62" s="5">
        <f>Weather_Site!E68</f>
        <v>41.1</v>
      </c>
      <c r="Q62" s="245">
        <f t="shared" si="12"/>
        <v>0</v>
      </c>
      <c r="R62" s="5">
        <f t="shared" si="5"/>
        <v>0</v>
      </c>
      <c r="S62" s="5">
        <f t="shared" si="13"/>
        <v>13</v>
      </c>
      <c r="T62" s="247">
        <f t="shared" si="14"/>
        <v>0</v>
      </c>
      <c r="U62" s="5">
        <f t="shared" si="7"/>
        <v>0</v>
      </c>
      <c r="V62" s="247">
        <f t="shared" si="8"/>
        <v>0</v>
      </c>
      <c r="W62" s="276">
        <f t="shared" si="9"/>
        <v>18.399999999999977</v>
      </c>
      <c r="X62" s="277">
        <f t="shared" si="11"/>
        <v>18.399999999999977</v>
      </c>
    </row>
    <row r="63" spans="14:24" x14ac:dyDescent="0.25">
      <c r="N63" s="244">
        <f>Weather_Site!B69</f>
        <v>41283</v>
      </c>
      <c r="O63" s="245">
        <f>Weather_Site!C69</f>
        <v>0.58333333333333337</v>
      </c>
      <c r="P63" s="5">
        <f>Weather_Site!E69</f>
        <v>37.200000000000003</v>
      </c>
      <c r="Q63" s="245">
        <f t="shared" si="12"/>
        <v>0</v>
      </c>
      <c r="R63" s="5">
        <f t="shared" si="5"/>
        <v>0</v>
      </c>
      <c r="S63" s="5">
        <f t="shared" si="13"/>
        <v>14</v>
      </c>
      <c r="T63" s="247">
        <f t="shared" si="14"/>
        <v>0</v>
      </c>
      <c r="U63" s="5">
        <f t="shared" si="7"/>
        <v>0</v>
      </c>
      <c r="V63" s="247">
        <f t="shared" si="8"/>
        <v>0</v>
      </c>
      <c r="W63" s="276">
        <f t="shared" si="9"/>
        <v>18.399999999999977</v>
      </c>
      <c r="X63" s="277">
        <f t="shared" si="11"/>
        <v>18.399999999999977</v>
      </c>
    </row>
    <row r="64" spans="14:24" x14ac:dyDescent="0.25">
      <c r="N64" s="244">
        <f>Weather_Site!B70</f>
        <v>41283</v>
      </c>
      <c r="O64" s="245">
        <f>Weather_Site!C70</f>
        <v>0.625</v>
      </c>
      <c r="P64" s="5">
        <f>Weather_Site!E70</f>
        <v>37.6</v>
      </c>
      <c r="Q64" s="245">
        <f t="shared" si="12"/>
        <v>0</v>
      </c>
      <c r="R64" s="5">
        <f t="shared" si="5"/>
        <v>0</v>
      </c>
      <c r="S64" s="5">
        <f t="shared" si="13"/>
        <v>15</v>
      </c>
      <c r="T64" s="247">
        <f t="shared" si="14"/>
        <v>0</v>
      </c>
      <c r="U64" s="5">
        <f t="shared" si="7"/>
        <v>0</v>
      </c>
      <c r="V64" s="247">
        <f t="shared" si="8"/>
        <v>0</v>
      </c>
      <c r="W64" s="276">
        <f t="shared" si="9"/>
        <v>18.399999999999977</v>
      </c>
      <c r="X64" s="277">
        <f t="shared" si="11"/>
        <v>18.399999999999977</v>
      </c>
    </row>
    <row r="65" spans="14:24" x14ac:dyDescent="0.25">
      <c r="N65" s="244">
        <f>Weather_Site!B71</f>
        <v>41283</v>
      </c>
      <c r="O65" s="245">
        <f>Weather_Site!C71</f>
        <v>0.66666666666666663</v>
      </c>
      <c r="P65" s="5">
        <f>Weather_Site!E71</f>
        <v>37.6</v>
      </c>
      <c r="Q65" s="245">
        <f t="shared" si="12"/>
        <v>4.166666666666663E-2</v>
      </c>
      <c r="R65" s="5">
        <f t="shared" si="5"/>
        <v>1</v>
      </c>
      <c r="S65" s="5">
        <f t="shared" si="13"/>
        <v>16</v>
      </c>
      <c r="T65" s="247">
        <f t="shared" si="14"/>
        <v>37.6</v>
      </c>
      <c r="U65" s="5">
        <f t="shared" si="7"/>
        <v>0</v>
      </c>
      <c r="V65" s="247">
        <f t="shared" si="8"/>
        <v>0</v>
      </c>
      <c r="W65" s="276">
        <f t="shared" si="9"/>
        <v>18.399999999999977</v>
      </c>
      <c r="X65" s="277">
        <f t="shared" si="11"/>
        <v>18.399999999999977</v>
      </c>
    </row>
    <row r="66" spans="14:24" x14ac:dyDescent="0.25">
      <c r="N66" s="244">
        <f>Weather_Site!B72</f>
        <v>41283</v>
      </c>
      <c r="O66" s="245">
        <f>Weather_Site!C72</f>
        <v>0.70833333333333337</v>
      </c>
      <c r="P66" s="5">
        <f>Weather_Site!E72</f>
        <v>38</v>
      </c>
      <c r="Q66" s="245">
        <f t="shared" si="12"/>
        <v>4.1666666666666741E-2</v>
      </c>
      <c r="R66" s="5">
        <f t="shared" si="5"/>
        <v>1</v>
      </c>
      <c r="S66" s="5">
        <f t="shared" si="13"/>
        <v>17</v>
      </c>
      <c r="T66" s="247">
        <f t="shared" si="14"/>
        <v>37.799999999999997</v>
      </c>
      <c r="U66" s="5">
        <f t="shared" si="7"/>
        <v>0</v>
      </c>
      <c r="V66" s="247">
        <f t="shared" si="8"/>
        <v>0</v>
      </c>
      <c r="W66" s="276">
        <f t="shared" si="9"/>
        <v>18.399999999999977</v>
      </c>
      <c r="X66" s="277">
        <f t="shared" si="11"/>
        <v>18.399999999999977</v>
      </c>
    </row>
    <row r="67" spans="14:24" x14ac:dyDescent="0.25">
      <c r="N67" s="244">
        <f>Weather_Site!B73</f>
        <v>41283</v>
      </c>
      <c r="O67" s="245">
        <f>Weather_Site!C73</f>
        <v>0.75</v>
      </c>
      <c r="P67" s="5">
        <f>Weather_Site!E73</f>
        <v>43.6</v>
      </c>
      <c r="Q67" s="245">
        <f t="shared" si="12"/>
        <v>4.166666666666663E-2</v>
      </c>
      <c r="R67" s="5">
        <f t="shared" si="5"/>
        <v>1</v>
      </c>
      <c r="S67" s="5">
        <f t="shared" si="13"/>
        <v>18</v>
      </c>
      <c r="T67" s="247">
        <f t="shared" si="14"/>
        <v>40.799999999999997</v>
      </c>
      <c r="U67" s="5">
        <f t="shared" si="7"/>
        <v>0</v>
      </c>
      <c r="V67" s="247">
        <f t="shared" si="8"/>
        <v>0</v>
      </c>
      <c r="W67" s="276">
        <f t="shared" si="9"/>
        <v>0</v>
      </c>
      <c r="X67" s="277">
        <f t="shared" si="11"/>
        <v>18.399999999999977</v>
      </c>
    </row>
    <row r="68" spans="14:24" x14ac:dyDescent="0.25">
      <c r="N68" s="244">
        <f>Weather_Site!B74</f>
        <v>41283</v>
      </c>
      <c r="O68" s="245">
        <f>Weather_Site!C74</f>
        <v>0.79166666666666663</v>
      </c>
      <c r="P68" s="5">
        <f>Weather_Site!E74</f>
        <v>50.1</v>
      </c>
      <c r="Q68" s="245">
        <f t="shared" si="12"/>
        <v>4.166666666666663E-2</v>
      </c>
      <c r="R68" s="5">
        <f t="shared" si="5"/>
        <v>1</v>
      </c>
      <c r="S68" s="5">
        <f t="shared" si="13"/>
        <v>19</v>
      </c>
      <c r="T68" s="247">
        <f t="shared" si="14"/>
        <v>46.85</v>
      </c>
      <c r="U68" s="5">
        <f t="shared" si="7"/>
        <v>0</v>
      </c>
      <c r="V68" s="247">
        <f t="shared" si="8"/>
        <v>0</v>
      </c>
      <c r="W68" s="276">
        <f t="shared" si="9"/>
        <v>0</v>
      </c>
      <c r="X68" s="277">
        <f t="shared" si="11"/>
        <v>18.399999999999977</v>
      </c>
    </row>
    <row r="69" spans="14:24" x14ac:dyDescent="0.25">
      <c r="N69" s="244">
        <f>Weather_Site!B75</f>
        <v>41283</v>
      </c>
      <c r="O69" s="245">
        <f>Weather_Site!C75</f>
        <v>0.83333333333333337</v>
      </c>
      <c r="P69" s="5">
        <f>Weather_Site!E75</f>
        <v>58</v>
      </c>
      <c r="Q69" s="245">
        <f t="shared" si="12"/>
        <v>4.1666666666666741E-2</v>
      </c>
      <c r="R69" s="5">
        <f t="shared" si="5"/>
        <v>1</v>
      </c>
      <c r="S69" s="5">
        <f t="shared" si="13"/>
        <v>20</v>
      </c>
      <c r="T69" s="247">
        <f t="shared" si="14"/>
        <v>54.05</v>
      </c>
      <c r="U69" s="5">
        <f t="shared" si="7"/>
        <v>0</v>
      </c>
      <c r="V69" s="247">
        <f t="shared" si="8"/>
        <v>0</v>
      </c>
      <c r="W69" s="276">
        <f t="shared" si="9"/>
        <v>0</v>
      </c>
      <c r="X69" s="277">
        <f t="shared" si="11"/>
        <v>18.399999999999977</v>
      </c>
    </row>
    <row r="70" spans="14:24" x14ac:dyDescent="0.25">
      <c r="N70" s="244">
        <f>Weather_Site!B76</f>
        <v>41283</v>
      </c>
      <c r="O70" s="245">
        <f>Weather_Site!C76</f>
        <v>0.875</v>
      </c>
      <c r="P70" s="5">
        <f>Weather_Site!E76</f>
        <v>62.2</v>
      </c>
      <c r="Q70" s="245">
        <f t="shared" si="12"/>
        <v>4.166666666666663E-2</v>
      </c>
      <c r="R70" s="5">
        <f t="shared" si="5"/>
        <v>1</v>
      </c>
      <c r="S70" s="5">
        <f t="shared" si="13"/>
        <v>21</v>
      </c>
      <c r="T70" s="247">
        <f t="shared" si="14"/>
        <v>60.1</v>
      </c>
      <c r="U70" s="5">
        <f t="shared" si="7"/>
        <v>0</v>
      </c>
      <c r="V70" s="247">
        <f t="shared" si="8"/>
        <v>0</v>
      </c>
      <c r="W70" s="276">
        <f t="shared" si="9"/>
        <v>0</v>
      </c>
      <c r="X70" s="277">
        <f t="shared" si="11"/>
        <v>18.399999999999977</v>
      </c>
    </row>
    <row r="71" spans="14:24" x14ac:dyDescent="0.25">
      <c r="N71" s="244">
        <f>Weather_Site!B77</f>
        <v>41283</v>
      </c>
      <c r="O71" s="245">
        <f>Weather_Site!C77</f>
        <v>0.91666666666666663</v>
      </c>
      <c r="P71" s="5">
        <f>Weather_Site!E77</f>
        <v>66.8</v>
      </c>
      <c r="Q71" s="245">
        <f t="shared" si="12"/>
        <v>4.166666666666663E-2</v>
      </c>
      <c r="R71" s="5">
        <f t="shared" si="5"/>
        <v>1</v>
      </c>
      <c r="S71" s="5">
        <f t="shared" si="13"/>
        <v>22</v>
      </c>
      <c r="T71" s="247">
        <f t="shared" si="14"/>
        <v>64.5</v>
      </c>
      <c r="U71" s="5">
        <f t="shared" si="7"/>
        <v>0</v>
      </c>
      <c r="V71" s="247">
        <f t="shared" si="8"/>
        <v>0</v>
      </c>
      <c r="W71" s="276">
        <f t="shared" si="9"/>
        <v>0</v>
      </c>
      <c r="X71" s="277">
        <f t="shared" si="11"/>
        <v>18.399999999999977</v>
      </c>
    </row>
    <row r="72" spans="14:24" x14ac:dyDescent="0.25">
      <c r="N72" s="244">
        <f>Weather_Site!B78</f>
        <v>41283</v>
      </c>
      <c r="O72" s="245">
        <f>Weather_Site!C78</f>
        <v>0.95833333333333337</v>
      </c>
      <c r="P72" s="5">
        <f>Weather_Site!E78</f>
        <v>71.7</v>
      </c>
      <c r="Q72" s="245">
        <f t="shared" si="12"/>
        <v>4.1666666666666741E-2</v>
      </c>
      <c r="R72" s="5">
        <f t="shared" ref="R72:R135" si="15">HOUR(Q72)</f>
        <v>1</v>
      </c>
      <c r="S72" s="5">
        <f t="shared" si="13"/>
        <v>23</v>
      </c>
      <c r="T72" s="247">
        <f t="shared" si="14"/>
        <v>69.25</v>
      </c>
      <c r="U72" s="5">
        <f t="shared" ref="U72:U135" si="16">MAX((T72-70*R72),0)</f>
        <v>0</v>
      </c>
      <c r="V72" s="247">
        <f t="shared" ref="V72:V135" si="17">IF(OR(AND((N72-N71)=0,O71&gt;0.5),AND((N72-N71)=1,O72&lt;0.5),AND(N72-N71)=0,O72&lt;0.5),U72+V71,U72)</f>
        <v>0</v>
      </c>
      <c r="W72" s="276">
        <f t="shared" ref="W72:W135" si="18">IF(O72&lt;0.75,MAX(V72,W71),V72)</f>
        <v>0</v>
      </c>
      <c r="X72" s="277">
        <f t="shared" si="11"/>
        <v>18.399999999999977</v>
      </c>
    </row>
    <row r="73" spans="14:24" x14ac:dyDescent="0.25">
      <c r="N73" s="244">
        <f>Weather_Site!B79</f>
        <v>41284</v>
      </c>
      <c r="O73" s="245">
        <f>Weather_Site!C79</f>
        <v>0</v>
      </c>
      <c r="P73" s="5">
        <f>Weather_Site!E79</f>
        <v>73.099999999999994</v>
      </c>
      <c r="Q73" s="245">
        <f t="shared" si="12"/>
        <v>4.166666666666663E-2</v>
      </c>
      <c r="R73" s="5">
        <f t="shared" si="15"/>
        <v>1</v>
      </c>
      <c r="S73" s="5">
        <f t="shared" si="13"/>
        <v>0</v>
      </c>
      <c r="T73" s="247">
        <f t="shared" si="14"/>
        <v>72.400000000000006</v>
      </c>
      <c r="U73" s="5">
        <f t="shared" si="16"/>
        <v>2.4000000000000057</v>
      </c>
      <c r="V73" s="247">
        <f t="shared" si="17"/>
        <v>2.4000000000000057</v>
      </c>
      <c r="W73" s="276">
        <f t="shared" si="18"/>
        <v>2.4000000000000057</v>
      </c>
      <c r="X73" s="277">
        <f t="shared" si="11"/>
        <v>18.399999999999977</v>
      </c>
    </row>
    <row r="74" spans="14:24" x14ac:dyDescent="0.25">
      <c r="N74" s="244">
        <f>Weather_Site!B80</f>
        <v>41284</v>
      </c>
      <c r="O74" s="245">
        <f>Weather_Site!C80</f>
        <v>4.1666666666666664E-2</v>
      </c>
      <c r="P74" s="5">
        <f>Weather_Site!E80</f>
        <v>75.5</v>
      </c>
      <c r="Q74" s="245">
        <f t="shared" si="12"/>
        <v>4.1666666666666664E-2</v>
      </c>
      <c r="R74" s="5">
        <f t="shared" si="15"/>
        <v>1</v>
      </c>
      <c r="S74" s="5">
        <f t="shared" si="13"/>
        <v>1</v>
      </c>
      <c r="T74" s="247">
        <f t="shared" si="14"/>
        <v>74.3</v>
      </c>
      <c r="U74" s="5">
        <f t="shared" si="16"/>
        <v>4.2999999999999972</v>
      </c>
      <c r="V74" s="247">
        <f t="shared" si="17"/>
        <v>6.7000000000000028</v>
      </c>
      <c r="W74" s="276">
        <f t="shared" si="18"/>
        <v>6.7000000000000028</v>
      </c>
      <c r="X74" s="277">
        <f t="shared" si="11"/>
        <v>18.399999999999977</v>
      </c>
    </row>
    <row r="75" spans="14:24" x14ac:dyDescent="0.25">
      <c r="N75" s="244">
        <f>Weather_Site!B81</f>
        <v>41284</v>
      </c>
      <c r="O75" s="245">
        <f>Weather_Site!C81</f>
        <v>8.3333333333333329E-2</v>
      </c>
      <c r="P75" s="5">
        <f>Weather_Site!E81</f>
        <v>77</v>
      </c>
      <c r="Q75" s="245">
        <f t="shared" si="12"/>
        <v>4.1666666666666664E-2</v>
      </c>
      <c r="R75" s="5">
        <f t="shared" si="15"/>
        <v>1</v>
      </c>
      <c r="S75" s="5">
        <f t="shared" si="13"/>
        <v>2</v>
      </c>
      <c r="T75" s="247">
        <f t="shared" si="14"/>
        <v>76.25</v>
      </c>
      <c r="U75" s="5">
        <f t="shared" si="16"/>
        <v>6.25</v>
      </c>
      <c r="V75" s="247">
        <f t="shared" si="17"/>
        <v>12.950000000000003</v>
      </c>
      <c r="W75" s="276">
        <f t="shared" si="18"/>
        <v>12.950000000000003</v>
      </c>
      <c r="X75" s="277">
        <f t="shared" si="11"/>
        <v>18.399999999999977</v>
      </c>
    </row>
    <row r="76" spans="14:24" x14ac:dyDescent="0.25">
      <c r="N76" s="244">
        <f>Weather_Site!B82</f>
        <v>41284</v>
      </c>
      <c r="O76" s="245">
        <f>Weather_Site!C82</f>
        <v>0.125</v>
      </c>
      <c r="P76" s="5">
        <f>Weather_Site!E82</f>
        <v>76.5</v>
      </c>
      <c r="Q76" s="245">
        <f t="shared" si="12"/>
        <v>4.1666666666666671E-2</v>
      </c>
      <c r="R76" s="5">
        <f t="shared" si="15"/>
        <v>1</v>
      </c>
      <c r="S76" s="5">
        <f t="shared" si="13"/>
        <v>3</v>
      </c>
      <c r="T76" s="247">
        <f t="shared" si="14"/>
        <v>76.75</v>
      </c>
      <c r="U76" s="5">
        <f t="shared" si="16"/>
        <v>6.75</v>
      </c>
      <c r="V76" s="247">
        <f t="shared" si="17"/>
        <v>19.700000000000003</v>
      </c>
      <c r="W76" s="276">
        <f t="shared" si="18"/>
        <v>19.700000000000003</v>
      </c>
      <c r="X76" s="277">
        <f t="shared" si="11"/>
        <v>18.399999999999977</v>
      </c>
    </row>
    <row r="77" spans="14:24" x14ac:dyDescent="0.25">
      <c r="N77" s="244">
        <f>Weather_Site!B83</f>
        <v>41284</v>
      </c>
      <c r="O77" s="245">
        <f>Weather_Site!C83</f>
        <v>0.16666666666666666</v>
      </c>
      <c r="P77" s="5">
        <f>Weather_Site!E83</f>
        <v>75.5</v>
      </c>
      <c r="Q77" s="245">
        <f t="shared" si="12"/>
        <v>4.1666666666666657E-2</v>
      </c>
      <c r="R77" s="5">
        <f t="shared" si="15"/>
        <v>1</v>
      </c>
      <c r="S77" s="5">
        <f t="shared" si="13"/>
        <v>4</v>
      </c>
      <c r="T77" s="247">
        <f t="shared" si="14"/>
        <v>76</v>
      </c>
      <c r="U77" s="5">
        <f t="shared" si="16"/>
        <v>6</v>
      </c>
      <c r="V77" s="247">
        <f t="shared" si="17"/>
        <v>25.700000000000003</v>
      </c>
      <c r="W77" s="276">
        <f t="shared" si="18"/>
        <v>25.700000000000003</v>
      </c>
      <c r="X77" s="277">
        <f t="shared" si="11"/>
        <v>18.399999999999977</v>
      </c>
    </row>
    <row r="78" spans="14:24" x14ac:dyDescent="0.25">
      <c r="N78" s="244">
        <f>Weather_Site!B84</f>
        <v>41284</v>
      </c>
      <c r="O78" s="245">
        <f>Weather_Site!C84</f>
        <v>0.20833333333333334</v>
      </c>
      <c r="P78" s="5">
        <f>Weather_Site!E84</f>
        <v>74.900000000000006</v>
      </c>
      <c r="Q78" s="245">
        <f t="shared" si="12"/>
        <v>4.1666666666666685E-2</v>
      </c>
      <c r="R78" s="5">
        <f t="shared" si="15"/>
        <v>1</v>
      </c>
      <c r="S78" s="5">
        <f t="shared" si="13"/>
        <v>5</v>
      </c>
      <c r="T78" s="247">
        <f t="shared" si="14"/>
        <v>75.2</v>
      </c>
      <c r="U78" s="5">
        <f t="shared" si="16"/>
        <v>5.2000000000000028</v>
      </c>
      <c r="V78" s="247">
        <f t="shared" si="17"/>
        <v>30.900000000000006</v>
      </c>
      <c r="W78" s="276">
        <f t="shared" si="18"/>
        <v>30.900000000000006</v>
      </c>
      <c r="X78" s="277">
        <f t="shared" si="11"/>
        <v>18.399999999999977</v>
      </c>
    </row>
    <row r="79" spans="14:24" x14ac:dyDescent="0.25">
      <c r="N79" s="244">
        <f>Weather_Site!B85</f>
        <v>41284</v>
      </c>
      <c r="O79" s="245">
        <f>Weather_Site!C85</f>
        <v>0.25</v>
      </c>
      <c r="P79" s="5">
        <f>Weather_Site!E85</f>
        <v>70.3</v>
      </c>
      <c r="Q79" s="245">
        <f t="shared" si="12"/>
        <v>4.1666666666666657E-2</v>
      </c>
      <c r="R79" s="5">
        <f t="shared" si="15"/>
        <v>1</v>
      </c>
      <c r="S79" s="5">
        <f t="shared" si="13"/>
        <v>6</v>
      </c>
      <c r="T79" s="247">
        <f t="shared" si="14"/>
        <v>72.599999999999994</v>
      </c>
      <c r="U79" s="5">
        <f t="shared" si="16"/>
        <v>2.5999999999999943</v>
      </c>
      <c r="V79" s="247">
        <f t="shared" si="17"/>
        <v>33.5</v>
      </c>
      <c r="W79" s="276">
        <f t="shared" si="18"/>
        <v>33.5</v>
      </c>
      <c r="X79" s="277">
        <f t="shared" si="11"/>
        <v>18.399999999999977</v>
      </c>
    </row>
    <row r="80" spans="14:24" x14ac:dyDescent="0.25">
      <c r="N80" s="244">
        <f>Weather_Site!B86</f>
        <v>41284</v>
      </c>
      <c r="O80" s="245">
        <f>Weather_Site!C86</f>
        <v>0.29166666666666669</v>
      </c>
      <c r="P80" s="5">
        <f>Weather_Site!E86</f>
        <v>65.099999999999994</v>
      </c>
      <c r="Q80" s="245">
        <f t="shared" si="12"/>
        <v>4.1666666666666685E-2</v>
      </c>
      <c r="R80" s="5">
        <f t="shared" si="15"/>
        <v>1</v>
      </c>
      <c r="S80" s="5">
        <f t="shared" si="13"/>
        <v>7</v>
      </c>
      <c r="T80" s="247">
        <f t="shared" si="14"/>
        <v>67.699999999999989</v>
      </c>
      <c r="U80" s="5">
        <f t="shared" si="16"/>
        <v>0</v>
      </c>
      <c r="V80" s="247">
        <f t="shared" si="17"/>
        <v>33.5</v>
      </c>
      <c r="W80" s="276">
        <f t="shared" si="18"/>
        <v>33.5</v>
      </c>
      <c r="X80" s="277">
        <f t="shared" si="11"/>
        <v>18.399999999999977</v>
      </c>
    </row>
    <row r="81" spans="14:24" x14ac:dyDescent="0.25">
      <c r="N81" s="244">
        <f>Weather_Site!B87</f>
        <v>41284</v>
      </c>
      <c r="O81" s="245">
        <f>Weather_Site!C87</f>
        <v>0.33333333333333331</v>
      </c>
      <c r="P81" s="5">
        <f>Weather_Site!E87</f>
        <v>61.1</v>
      </c>
      <c r="Q81" s="245">
        <f t="shared" si="12"/>
        <v>4.166666666666663E-2</v>
      </c>
      <c r="R81" s="5">
        <f t="shared" si="15"/>
        <v>1</v>
      </c>
      <c r="S81" s="5">
        <f t="shared" si="13"/>
        <v>8</v>
      </c>
      <c r="T81" s="247">
        <f t="shared" si="14"/>
        <v>63.099999999999994</v>
      </c>
      <c r="U81" s="5">
        <f t="shared" si="16"/>
        <v>0</v>
      </c>
      <c r="V81" s="247">
        <f t="shared" si="17"/>
        <v>33.5</v>
      </c>
      <c r="W81" s="276">
        <f t="shared" si="18"/>
        <v>33.5</v>
      </c>
      <c r="X81" s="277">
        <f t="shared" si="11"/>
        <v>33.5</v>
      </c>
    </row>
    <row r="82" spans="14:24" x14ac:dyDescent="0.25">
      <c r="N82" s="244">
        <f>Weather_Site!B88</f>
        <v>41284</v>
      </c>
      <c r="O82" s="245">
        <f>Weather_Site!C88</f>
        <v>0.375</v>
      </c>
      <c r="P82" s="5">
        <f>Weather_Site!E88</f>
        <v>58.5</v>
      </c>
      <c r="Q82" s="245">
        <f t="shared" si="12"/>
        <v>0</v>
      </c>
      <c r="R82" s="5">
        <f t="shared" si="15"/>
        <v>0</v>
      </c>
      <c r="S82" s="5">
        <f t="shared" si="13"/>
        <v>9</v>
      </c>
      <c r="T82" s="247">
        <f t="shared" si="14"/>
        <v>0</v>
      </c>
      <c r="U82" s="5">
        <f t="shared" si="16"/>
        <v>0</v>
      </c>
      <c r="V82" s="247">
        <f t="shared" si="17"/>
        <v>33.5</v>
      </c>
      <c r="W82" s="276">
        <f t="shared" si="18"/>
        <v>33.5</v>
      </c>
      <c r="X82" s="277">
        <f t="shared" si="11"/>
        <v>33.5</v>
      </c>
    </row>
    <row r="83" spans="14:24" x14ac:dyDescent="0.25">
      <c r="N83" s="244">
        <f>Weather_Site!B89</f>
        <v>41284</v>
      </c>
      <c r="O83" s="245">
        <f>Weather_Site!C89</f>
        <v>0.41666666666666669</v>
      </c>
      <c r="P83" s="5">
        <f>Weather_Site!E89</f>
        <v>53.6</v>
      </c>
      <c r="Q83" s="245">
        <f t="shared" si="12"/>
        <v>0</v>
      </c>
      <c r="R83" s="5">
        <f t="shared" si="15"/>
        <v>0</v>
      </c>
      <c r="S83" s="5">
        <f t="shared" si="13"/>
        <v>10</v>
      </c>
      <c r="T83" s="247">
        <f t="shared" si="14"/>
        <v>0</v>
      </c>
      <c r="U83" s="5">
        <f t="shared" si="16"/>
        <v>0</v>
      </c>
      <c r="V83" s="247">
        <f t="shared" si="17"/>
        <v>33.5</v>
      </c>
      <c r="W83" s="276">
        <f t="shared" si="18"/>
        <v>33.5</v>
      </c>
      <c r="X83" s="277">
        <f t="shared" si="11"/>
        <v>33.5</v>
      </c>
    </row>
    <row r="84" spans="14:24" x14ac:dyDescent="0.25">
      <c r="N84" s="244">
        <f>Weather_Site!B90</f>
        <v>41284</v>
      </c>
      <c r="O84" s="245">
        <f>Weather_Site!C90</f>
        <v>0.45833333333333331</v>
      </c>
      <c r="P84" s="5">
        <f>Weather_Site!E90</f>
        <v>49.4</v>
      </c>
      <c r="Q84" s="245">
        <f t="shared" si="12"/>
        <v>0</v>
      </c>
      <c r="R84" s="5">
        <f t="shared" si="15"/>
        <v>0</v>
      </c>
      <c r="S84" s="5">
        <f t="shared" si="13"/>
        <v>11</v>
      </c>
      <c r="T84" s="247">
        <f t="shared" si="14"/>
        <v>0</v>
      </c>
      <c r="U84" s="5">
        <f t="shared" si="16"/>
        <v>0</v>
      </c>
      <c r="V84" s="247">
        <f t="shared" si="17"/>
        <v>33.5</v>
      </c>
      <c r="W84" s="276">
        <f t="shared" si="18"/>
        <v>33.5</v>
      </c>
      <c r="X84" s="277">
        <f t="shared" si="11"/>
        <v>33.5</v>
      </c>
    </row>
    <row r="85" spans="14:24" x14ac:dyDescent="0.25">
      <c r="N85" s="244">
        <f>Weather_Site!B91</f>
        <v>41284</v>
      </c>
      <c r="O85" s="245">
        <f>Weather_Site!C91</f>
        <v>0.5</v>
      </c>
      <c r="P85" s="5">
        <f>Weather_Site!E91</f>
        <v>46.3</v>
      </c>
      <c r="Q85" s="245">
        <f t="shared" si="12"/>
        <v>0</v>
      </c>
      <c r="R85" s="5">
        <f t="shared" si="15"/>
        <v>0</v>
      </c>
      <c r="S85" s="5">
        <f t="shared" si="13"/>
        <v>12</v>
      </c>
      <c r="T85" s="247">
        <f t="shared" si="14"/>
        <v>0</v>
      </c>
      <c r="U85" s="5">
        <f t="shared" si="16"/>
        <v>0</v>
      </c>
      <c r="V85" s="247">
        <f t="shared" si="17"/>
        <v>0</v>
      </c>
      <c r="W85" s="276">
        <f t="shared" si="18"/>
        <v>33.5</v>
      </c>
      <c r="X85" s="277">
        <f t="shared" si="11"/>
        <v>33.5</v>
      </c>
    </row>
    <row r="86" spans="14:24" x14ac:dyDescent="0.25">
      <c r="N86" s="244">
        <f>Weather_Site!B92</f>
        <v>0</v>
      </c>
      <c r="O86" s="245">
        <f>Weather_Site!C92</f>
        <v>0</v>
      </c>
      <c r="P86" s="5">
        <f>Weather_Site!E92</f>
        <v>0</v>
      </c>
      <c r="Q86" s="245">
        <f t="shared" si="12"/>
        <v>0.375</v>
      </c>
      <c r="R86" s="5">
        <f t="shared" si="15"/>
        <v>9</v>
      </c>
      <c r="S86" s="5">
        <f t="shared" si="13"/>
        <v>0</v>
      </c>
      <c r="T86" s="247">
        <f t="shared" si="14"/>
        <v>208.35</v>
      </c>
      <c r="U86" s="5">
        <f t="shared" si="16"/>
        <v>0</v>
      </c>
      <c r="V86" s="247">
        <f t="shared" si="17"/>
        <v>0</v>
      </c>
      <c r="W86" s="276">
        <f t="shared" si="18"/>
        <v>33.5</v>
      </c>
      <c r="X86" s="277">
        <f t="shared" si="11"/>
        <v>33.5</v>
      </c>
    </row>
    <row r="87" spans="14:24" x14ac:dyDescent="0.25">
      <c r="N87" s="244">
        <f>Weather_Site!B93</f>
        <v>0</v>
      </c>
      <c r="O87" s="245">
        <f>Weather_Site!C93</f>
        <v>0</v>
      </c>
      <c r="P87" s="5">
        <f>Weather_Site!E93</f>
        <v>0</v>
      </c>
      <c r="Q87" s="245">
        <f t="shared" si="12"/>
        <v>0</v>
      </c>
      <c r="R87" s="5">
        <f t="shared" si="15"/>
        <v>0</v>
      </c>
      <c r="S87" s="5">
        <f t="shared" si="13"/>
        <v>0</v>
      </c>
      <c r="T87" s="247">
        <f t="shared" si="14"/>
        <v>0</v>
      </c>
      <c r="U87" s="5">
        <f t="shared" si="16"/>
        <v>0</v>
      </c>
      <c r="V87" s="247">
        <f t="shared" si="17"/>
        <v>0</v>
      </c>
      <c r="W87" s="276">
        <f t="shared" si="18"/>
        <v>33.5</v>
      </c>
      <c r="X87" s="277">
        <f t="shared" si="11"/>
        <v>33.5</v>
      </c>
    </row>
    <row r="88" spans="14:24" x14ac:dyDescent="0.25">
      <c r="N88" s="244">
        <f>Weather_Site!B94</f>
        <v>0</v>
      </c>
      <c r="O88" s="245">
        <f>Weather_Site!C94</f>
        <v>0</v>
      </c>
      <c r="P88" s="5">
        <f>Weather_Site!E94</f>
        <v>0</v>
      </c>
      <c r="Q88" s="245">
        <f t="shared" si="12"/>
        <v>0</v>
      </c>
      <c r="R88" s="5">
        <f t="shared" si="15"/>
        <v>0</v>
      </c>
      <c r="S88" s="5">
        <f t="shared" si="13"/>
        <v>0</v>
      </c>
      <c r="T88" s="247">
        <f t="shared" si="14"/>
        <v>0</v>
      </c>
      <c r="U88" s="5">
        <f t="shared" si="16"/>
        <v>0</v>
      </c>
      <c r="V88" s="247">
        <f t="shared" si="17"/>
        <v>0</v>
      </c>
      <c r="W88" s="276">
        <f t="shared" si="18"/>
        <v>33.5</v>
      </c>
      <c r="X88" s="277">
        <f t="shared" si="11"/>
        <v>33.5</v>
      </c>
    </row>
    <row r="89" spans="14:24" x14ac:dyDescent="0.25">
      <c r="N89" s="244">
        <f>Weather_Site!B95</f>
        <v>0</v>
      </c>
      <c r="O89" s="245">
        <f>Weather_Site!C95</f>
        <v>0</v>
      </c>
      <c r="P89" s="5">
        <f>Weather_Site!E95</f>
        <v>0</v>
      </c>
      <c r="Q89" s="245">
        <f t="shared" si="12"/>
        <v>0</v>
      </c>
      <c r="R89" s="5">
        <f t="shared" si="15"/>
        <v>0</v>
      </c>
      <c r="S89" s="5">
        <f t="shared" si="13"/>
        <v>0</v>
      </c>
      <c r="T89" s="247">
        <f t="shared" si="14"/>
        <v>0</v>
      </c>
      <c r="U89" s="5">
        <f t="shared" si="16"/>
        <v>0</v>
      </c>
      <c r="V89" s="247">
        <f t="shared" si="17"/>
        <v>0</v>
      </c>
      <c r="W89" s="276">
        <f t="shared" si="18"/>
        <v>33.5</v>
      </c>
      <c r="X89" s="277">
        <f t="shared" si="11"/>
        <v>33.5</v>
      </c>
    </row>
    <row r="90" spans="14:24" x14ac:dyDescent="0.25">
      <c r="N90" s="244">
        <f>Weather_Site!B96</f>
        <v>0</v>
      </c>
      <c r="O90" s="245">
        <f>Weather_Site!C96</f>
        <v>0</v>
      </c>
      <c r="P90" s="5">
        <f>Weather_Site!E96</f>
        <v>0</v>
      </c>
      <c r="Q90" s="245">
        <f t="shared" si="12"/>
        <v>0</v>
      </c>
      <c r="R90" s="5">
        <f t="shared" si="15"/>
        <v>0</v>
      </c>
      <c r="S90" s="5">
        <f t="shared" si="13"/>
        <v>0</v>
      </c>
      <c r="T90" s="247">
        <f t="shared" si="14"/>
        <v>0</v>
      </c>
      <c r="U90" s="5">
        <f t="shared" si="16"/>
        <v>0</v>
      </c>
      <c r="V90" s="247">
        <f t="shared" si="17"/>
        <v>0</v>
      </c>
      <c r="W90" s="276">
        <f t="shared" si="18"/>
        <v>33.5</v>
      </c>
      <c r="X90" s="277">
        <f t="shared" si="11"/>
        <v>33.5</v>
      </c>
    </row>
    <row r="91" spans="14:24" x14ac:dyDescent="0.25">
      <c r="N91" s="244">
        <f>Weather_Site!B97</f>
        <v>0</v>
      </c>
      <c r="O91" s="245">
        <f>Weather_Site!C97</f>
        <v>0</v>
      </c>
      <c r="P91" s="5">
        <f>Weather_Site!E97</f>
        <v>0</v>
      </c>
      <c r="Q91" s="245">
        <f t="shared" si="12"/>
        <v>0</v>
      </c>
      <c r="R91" s="5">
        <f t="shared" si="15"/>
        <v>0</v>
      </c>
      <c r="S91" s="5">
        <f t="shared" si="13"/>
        <v>0</v>
      </c>
      <c r="T91" s="247">
        <f t="shared" si="14"/>
        <v>0</v>
      </c>
      <c r="U91" s="5">
        <f t="shared" si="16"/>
        <v>0</v>
      </c>
      <c r="V91" s="247">
        <f t="shared" si="17"/>
        <v>0</v>
      </c>
      <c r="W91" s="276">
        <f t="shared" si="18"/>
        <v>33.5</v>
      </c>
      <c r="X91" s="277">
        <f t="shared" si="11"/>
        <v>33.5</v>
      </c>
    </row>
    <row r="92" spans="14:24" x14ac:dyDescent="0.25">
      <c r="N92" s="244">
        <f>Weather_Site!B98</f>
        <v>0</v>
      </c>
      <c r="O92" s="245">
        <f>Weather_Site!C98</f>
        <v>0</v>
      </c>
      <c r="P92" s="5">
        <f>Weather_Site!E98</f>
        <v>0</v>
      </c>
      <c r="Q92" s="245">
        <f t="shared" si="12"/>
        <v>0</v>
      </c>
      <c r="R92" s="5">
        <f t="shared" si="15"/>
        <v>0</v>
      </c>
      <c r="S92" s="5">
        <f t="shared" si="13"/>
        <v>0</v>
      </c>
      <c r="T92" s="247">
        <f t="shared" si="14"/>
        <v>0</v>
      </c>
      <c r="U92" s="5">
        <f t="shared" si="16"/>
        <v>0</v>
      </c>
      <c r="V92" s="247">
        <f t="shared" si="17"/>
        <v>0</v>
      </c>
      <c r="W92" s="276">
        <f t="shared" si="18"/>
        <v>33.5</v>
      </c>
      <c r="X92" s="277">
        <f t="shared" si="11"/>
        <v>33.5</v>
      </c>
    </row>
    <row r="93" spans="14:24" x14ac:dyDescent="0.25">
      <c r="N93" s="244">
        <f>Weather_Site!B99</f>
        <v>0</v>
      </c>
      <c r="O93" s="245">
        <f>Weather_Site!C99</f>
        <v>0</v>
      </c>
      <c r="P93" s="5">
        <f>Weather_Site!E99</f>
        <v>0</v>
      </c>
      <c r="Q93" s="245">
        <f t="shared" si="12"/>
        <v>0</v>
      </c>
      <c r="R93" s="5">
        <f t="shared" si="15"/>
        <v>0</v>
      </c>
      <c r="S93" s="5">
        <f t="shared" si="13"/>
        <v>0</v>
      </c>
      <c r="T93" s="247">
        <f t="shared" si="14"/>
        <v>0</v>
      </c>
      <c r="U93" s="5">
        <f t="shared" si="16"/>
        <v>0</v>
      </c>
      <c r="V93" s="247">
        <f t="shared" si="17"/>
        <v>0</v>
      </c>
      <c r="W93" s="276">
        <f t="shared" si="18"/>
        <v>33.5</v>
      </c>
      <c r="X93" s="277">
        <f t="shared" si="11"/>
        <v>33.5</v>
      </c>
    </row>
    <row r="94" spans="14:24" x14ac:dyDescent="0.25">
      <c r="N94" s="244">
        <f>Weather_Site!B100</f>
        <v>0</v>
      </c>
      <c r="O94" s="245">
        <f>Weather_Site!C100</f>
        <v>0</v>
      </c>
      <c r="P94" s="5">
        <f>Weather_Site!E100</f>
        <v>0</v>
      </c>
      <c r="Q94" s="245">
        <f t="shared" si="12"/>
        <v>0</v>
      </c>
      <c r="R94" s="5">
        <f t="shared" si="15"/>
        <v>0</v>
      </c>
      <c r="S94" s="5">
        <f t="shared" si="13"/>
        <v>0</v>
      </c>
      <c r="T94" s="247">
        <f t="shared" si="14"/>
        <v>0</v>
      </c>
      <c r="U94" s="5">
        <f t="shared" si="16"/>
        <v>0</v>
      </c>
      <c r="V94" s="247">
        <f t="shared" si="17"/>
        <v>0</v>
      </c>
      <c r="W94" s="276">
        <f t="shared" si="18"/>
        <v>33.5</v>
      </c>
      <c r="X94" s="277">
        <f t="shared" si="11"/>
        <v>33.5</v>
      </c>
    </row>
    <row r="95" spans="14:24" x14ac:dyDescent="0.25">
      <c r="N95" s="244">
        <f>Weather_Site!B101</f>
        <v>0</v>
      </c>
      <c r="O95" s="245">
        <f>Weather_Site!C101</f>
        <v>0</v>
      </c>
      <c r="P95" s="5">
        <f>Weather_Site!E101</f>
        <v>0</v>
      </c>
      <c r="Q95" s="245">
        <f t="shared" si="12"/>
        <v>0</v>
      </c>
      <c r="R95" s="5">
        <f t="shared" si="15"/>
        <v>0</v>
      </c>
      <c r="S95" s="5">
        <f t="shared" si="13"/>
        <v>0</v>
      </c>
      <c r="T95" s="247">
        <f t="shared" si="14"/>
        <v>0</v>
      </c>
      <c r="U95" s="5">
        <f t="shared" si="16"/>
        <v>0</v>
      </c>
      <c r="V95" s="247">
        <f t="shared" si="17"/>
        <v>0</v>
      </c>
      <c r="W95" s="276">
        <f t="shared" si="18"/>
        <v>33.5</v>
      </c>
      <c r="X95" s="277">
        <f t="shared" si="11"/>
        <v>33.5</v>
      </c>
    </row>
    <row r="96" spans="14:24" x14ac:dyDescent="0.25">
      <c r="N96" s="244">
        <f>Weather_Site!B102</f>
        <v>0</v>
      </c>
      <c r="O96" s="245">
        <f>Weather_Site!C102</f>
        <v>0</v>
      </c>
      <c r="P96" s="5">
        <f>Weather_Site!E102</f>
        <v>0</v>
      </c>
      <c r="Q96" s="245">
        <f t="shared" si="12"/>
        <v>0</v>
      </c>
      <c r="R96" s="5">
        <f t="shared" si="15"/>
        <v>0</v>
      </c>
      <c r="S96" s="5">
        <f t="shared" si="13"/>
        <v>0</v>
      </c>
      <c r="T96" s="247">
        <f t="shared" si="14"/>
        <v>0</v>
      </c>
      <c r="U96" s="5">
        <f t="shared" si="16"/>
        <v>0</v>
      </c>
      <c r="V96" s="247">
        <f t="shared" si="17"/>
        <v>0</v>
      </c>
      <c r="W96" s="276">
        <f t="shared" si="18"/>
        <v>33.5</v>
      </c>
      <c r="X96" s="277">
        <f t="shared" si="11"/>
        <v>33.5</v>
      </c>
    </row>
    <row r="97" spans="14:24" x14ac:dyDescent="0.25">
      <c r="N97" s="244">
        <f>Weather_Site!B103</f>
        <v>0</v>
      </c>
      <c r="O97" s="245">
        <f>Weather_Site!C103</f>
        <v>0</v>
      </c>
      <c r="P97" s="5">
        <f>Weather_Site!E103</f>
        <v>0</v>
      </c>
      <c r="Q97" s="245">
        <f t="shared" si="12"/>
        <v>0</v>
      </c>
      <c r="R97" s="5">
        <f t="shared" si="15"/>
        <v>0</v>
      </c>
      <c r="S97" s="5">
        <f t="shared" si="13"/>
        <v>0</v>
      </c>
      <c r="T97" s="247">
        <f t="shared" si="14"/>
        <v>0</v>
      </c>
      <c r="U97" s="5">
        <f t="shared" si="16"/>
        <v>0</v>
      </c>
      <c r="V97" s="247">
        <f t="shared" si="17"/>
        <v>0</v>
      </c>
      <c r="W97" s="276">
        <f t="shared" si="18"/>
        <v>33.5</v>
      </c>
      <c r="X97" s="277">
        <f t="shared" si="11"/>
        <v>33.5</v>
      </c>
    </row>
    <row r="98" spans="14:24" x14ac:dyDescent="0.25">
      <c r="N98" s="244">
        <f>Weather_Site!B104</f>
        <v>0</v>
      </c>
      <c r="O98" s="245">
        <f>Weather_Site!C104</f>
        <v>0</v>
      </c>
      <c r="P98" s="5">
        <f>Weather_Site!E104</f>
        <v>0</v>
      </c>
      <c r="Q98" s="245">
        <f t="shared" si="12"/>
        <v>0</v>
      </c>
      <c r="R98" s="5">
        <f t="shared" si="15"/>
        <v>0</v>
      </c>
      <c r="S98" s="5">
        <f t="shared" si="13"/>
        <v>0</v>
      </c>
      <c r="T98" s="247">
        <f t="shared" si="14"/>
        <v>0</v>
      </c>
      <c r="U98" s="5">
        <f t="shared" si="16"/>
        <v>0</v>
      </c>
      <c r="V98" s="247">
        <f t="shared" si="17"/>
        <v>0</v>
      </c>
      <c r="W98" s="276">
        <f t="shared" si="18"/>
        <v>33.5</v>
      </c>
      <c r="X98" s="277">
        <f t="shared" si="11"/>
        <v>33.5</v>
      </c>
    </row>
    <row r="99" spans="14:24" x14ac:dyDescent="0.25">
      <c r="N99" s="244">
        <f>Weather_Site!B105</f>
        <v>0</v>
      </c>
      <c r="O99" s="245">
        <f>Weather_Site!C105</f>
        <v>0</v>
      </c>
      <c r="P99" s="5">
        <f>Weather_Site!E105</f>
        <v>0</v>
      </c>
      <c r="Q99" s="245">
        <f t="shared" si="12"/>
        <v>0</v>
      </c>
      <c r="R99" s="5">
        <f t="shared" si="15"/>
        <v>0</v>
      </c>
      <c r="S99" s="5">
        <f t="shared" si="13"/>
        <v>0</v>
      </c>
      <c r="T99" s="247">
        <f t="shared" si="14"/>
        <v>0</v>
      </c>
      <c r="U99" s="5">
        <f t="shared" si="16"/>
        <v>0</v>
      </c>
      <c r="V99" s="247">
        <f t="shared" si="17"/>
        <v>0</v>
      </c>
      <c r="W99" s="276">
        <f t="shared" si="18"/>
        <v>33.5</v>
      </c>
      <c r="X99" s="277">
        <f t="shared" si="11"/>
        <v>33.5</v>
      </c>
    </row>
    <row r="100" spans="14:24" x14ac:dyDescent="0.25">
      <c r="N100" s="244">
        <f>Weather_Site!B106</f>
        <v>0</v>
      </c>
      <c r="O100" s="245">
        <f>Weather_Site!C106</f>
        <v>0</v>
      </c>
      <c r="P100" s="5">
        <f>Weather_Site!E106</f>
        <v>0</v>
      </c>
      <c r="Q100" s="245">
        <f t="shared" si="12"/>
        <v>0</v>
      </c>
      <c r="R100" s="5">
        <f t="shared" si="15"/>
        <v>0</v>
      </c>
      <c r="S100" s="5">
        <f t="shared" si="13"/>
        <v>0</v>
      </c>
      <c r="T100" s="247">
        <f t="shared" si="14"/>
        <v>0</v>
      </c>
      <c r="U100" s="5">
        <f t="shared" si="16"/>
        <v>0</v>
      </c>
      <c r="V100" s="247">
        <f t="shared" si="17"/>
        <v>0</v>
      </c>
      <c r="W100" s="276">
        <f t="shared" si="18"/>
        <v>33.5</v>
      </c>
      <c r="X100" s="277">
        <f t="shared" ref="X100:X163" si="19">IF(AND(O99&lt;0.333,O100&gt;=0.333),W100,X99)</f>
        <v>33.5</v>
      </c>
    </row>
    <row r="101" spans="14:24" x14ac:dyDescent="0.25">
      <c r="N101" s="244">
        <f>Weather_Site!B107</f>
        <v>0</v>
      </c>
      <c r="O101" s="245">
        <f>Weather_Site!C107</f>
        <v>0</v>
      </c>
      <c r="P101" s="5">
        <f>Weather_Site!E107</f>
        <v>0</v>
      </c>
      <c r="Q101" s="245">
        <f t="shared" ref="Q101:Q164" si="20">IF((O101-O100)&lt;0,(1-MAX(O100,0.625))+MIN(O101,0.334),(IF(O100&lt;0.333,(MIN(O101,0.334)-O100),IF(O101&gt;0.625,MAX(O101,0.625)-O100,0))))</f>
        <v>0</v>
      </c>
      <c r="R101" s="5">
        <f t="shared" si="15"/>
        <v>0</v>
      </c>
      <c r="S101" s="5">
        <f t="shared" ref="S101:S164" si="21">HOUR(O101)</f>
        <v>0</v>
      </c>
      <c r="T101" s="247">
        <f t="shared" ref="T101:T164" si="22">(P101+P100)/2*R101</f>
        <v>0</v>
      </c>
      <c r="U101" s="5">
        <f t="shared" si="16"/>
        <v>0</v>
      </c>
      <c r="V101" s="247">
        <f t="shared" si="17"/>
        <v>0</v>
      </c>
      <c r="W101" s="276">
        <f t="shared" si="18"/>
        <v>33.5</v>
      </c>
      <c r="X101" s="277">
        <f t="shared" si="19"/>
        <v>33.5</v>
      </c>
    </row>
    <row r="102" spans="14:24" x14ac:dyDescent="0.25">
      <c r="N102" s="244">
        <f>Weather_Site!B108</f>
        <v>0</v>
      </c>
      <c r="O102" s="245">
        <f>Weather_Site!C108</f>
        <v>0</v>
      </c>
      <c r="P102" s="5">
        <f>Weather_Site!E108</f>
        <v>0</v>
      </c>
      <c r="Q102" s="245">
        <f t="shared" si="20"/>
        <v>0</v>
      </c>
      <c r="R102" s="5">
        <f t="shared" si="15"/>
        <v>0</v>
      </c>
      <c r="S102" s="5">
        <f t="shared" si="21"/>
        <v>0</v>
      </c>
      <c r="T102" s="247">
        <f t="shared" si="22"/>
        <v>0</v>
      </c>
      <c r="U102" s="5">
        <f t="shared" si="16"/>
        <v>0</v>
      </c>
      <c r="V102" s="247">
        <f t="shared" si="17"/>
        <v>0</v>
      </c>
      <c r="W102" s="276">
        <f t="shared" si="18"/>
        <v>33.5</v>
      </c>
      <c r="X102" s="277">
        <f t="shared" si="19"/>
        <v>33.5</v>
      </c>
    </row>
    <row r="103" spans="14:24" x14ac:dyDescent="0.25">
      <c r="N103" s="244">
        <f>Weather_Site!B109</f>
        <v>0</v>
      </c>
      <c r="O103" s="245">
        <f>Weather_Site!C109</f>
        <v>0</v>
      </c>
      <c r="P103" s="5">
        <f>Weather_Site!E109</f>
        <v>0</v>
      </c>
      <c r="Q103" s="245">
        <f t="shared" si="20"/>
        <v>0</v>
      </c>
      <c r="R103" s="5">
        <f t="shared" si="15"/>
        <v>0</v>
      </c>
      <c r="S103" s="5">
        <f t="shared" si="21"/>
        <v>0</v>
      </c>
      <c r="T103" s="247">
        <f t="shared" si="22"/>
        <v>0</v>
      </c>
      <c r="U103" s="5">
        <f t="shared" si="16"/>
        <v>0</v>
      </c>
      <c r="V103" s="247">
        <f t="shared" si="17"/>
        <v>0</v>
      </c>
      <c r="W103" s="276">
        <f t="shared" si="18"/>
        <v>33.5</v>
      </c>
      <c r="X103" s="277">
        <f t="shared" si="19"/>
        <v>33.5</v>
      </c>
    </row>
    <row r="104" spans="14:24" x14ac:dyDescent="0.25">
      <c r="N104" s="244">
        <f>Weather_Site!B110</f>
        <v>0</v>
      </c>
      <c r="O104" s="245">
        <f>Weather_Site!C110</f>
        <v>0</v>
      </c>
      <c r="P104" s="5">
        <f>Weather_Site!E110</f>
        <v>0</v>
      </c>
      <c r="Q104" s="245">
        <f t="shared" si="20"/>
        <v>0</v>
      </c>
      <c r="R104" s="5">
        <f t="shared" si="15"/>
        <v>0</v>
      </c>
      <c r="S104" s="5">
        <f t="shared" si="21"/>
        <v>0</v>
      </c>
      <c r="T104" s="247">
        <f t="shared" si="22"/>
        <v>0</v>
      </c>
      <c r="U104" s="5">
        <f t="shared" si="16"/>
        <v>0</v>
      </c>
      <c r="V104" s="247">
        <f t="shared" si="17"/>
        <v>0</v>
      </c>
      <c r="W104" s="276">
        <f t="shared" si="18"/>
        <v>33.5</v>
      </c>
      <c r="X104" s="277">
        <f t="shared" si="19"/>
        <v>33.5</v>
      </c>
    </row>
    <row r="105" spans="14:24" x14ac:dyDescent="0.25">
      <c r="N105" s="244">
        <f>Weather_Site!B111</f>
        <v>0</v>
      </c>
      <c r="O105" s="245">
        <f>Weather_Site!C111</f>
        <v>0</v>
      </c>
      <c r="P105" s="5">
        <f>Weather_Site!E111</f>
        <v>0</v>
      </c>
      <c r="Q105" s="245">
        <f t="shared" si="20"/>
        <v>0</v>
      </c>
      <c r="R105" s="5">
        <f t="shared" si="15"/>
        <v>0</v>
      </c>
      <c r="S105" s="5">
        <f t="shared" si="21"/>
        <v>0</v>
      </c>
      <c r="T105" s="247">
        <f t="shared" si="22"/>
        <v>0</v>
      </c>
      <c r="U105" s="5">
        <f t="shared" si="16"/>
        <v>0</v>
      </c>
      <c r="V105" s="247">
        <f t="shared" si="17"/>
        <v>0</v>
      </c>
      <c r="W105" s="276">
        <f t="shared" si="18"/>
        <v>33.5</v>
      </c>
      <c r="X105" s="277">
        <f t="shared" si="19"/>
        <v>33.5</v>
      </c>
    </row>
    <row r="106" spans="14:24" x14ac:dyDescent="0.25">
      <c r="N106" s="244">
        <f>Weather_Site!B112</f>
        <v>0</v>
      </c>
      <c r="O106" s="245">
        <f>Weather_Site!C112</f>
        <v>0</v>
      </c>
      <c r="P106" s="5">
        <f>Weather_Site!E112</f>
        <v>0</v>
      </c>
      <c r="Q106" s="245">
        <f t="shared" si="20"/>
        <v>0</v>
      </c>
      <c r="R106" s="5">
        <f t="shared" si="15"/>
        <v>0</v>
      </c>
      <c r="S106" s="5">
        <f t="shared" si="21"/>
        <v>0</v>
      </c>
      <c r="T106" s="247">
        <f t="shared" si="22"/>
        <v>0</v>
      </c>
      <c r="U106" s="5">
        <f t="shared" si="16"/>
        <v>0</v>
      </c>
      <c r="V106" s="247">
        <f t="shared" si="17"/>
        <v>0</v>
      </c>
      <c r="W106" s="276">
        <f t="shared" si="18"/>
        <v>33.5</v>
      </c>
      <c r="X106" s="277">
        <f t="shared" si="19"/>
        <v>33.5</v>
      </c>
    </row>
    <row r="107" spans="14:24" x14ac:dyDescent="0.25">
      <c r="N107" s="244">
        <f>Weather_Site!B113</f>
        <v>0</v>
      </c>
      <c r="O107" s="245">
        <f>Weather_Site!C113</f>
        <v>0</v>
      </c>
      <c r="P107" s="5">
        <f>Weather_Site!E113</f>
        <v>0</v>
      </c>
      <c r="Q107" s="245">
        <f t="shared" si="20"/>
        <v>0</v>
      </c>
      <c r="R107" s="5">
        <f t="shared" si="15"/>
        <v>0</v>
      </c>
      <c r="S107" s="5">
        <f t="shared" si="21"/>
        <v>0</v>
      </c>
      <c r="T107" s="247">
        <f t="shared" si="22"/>
        <v>0</v>
      </c>
      <c r="U107" s="5">
        <f t="shared" si="16"/>
        <v>0</v>
      </c>
      <c r="V107" s="247">
        <f t="shared" si="17"/>
        <v>0</v>
      </c>
      <c r="W107" s="276">
        <f t="shared" si="18"/>
        <v>33.5</v>
      </c>
      <c r="X107" s="277">
        <f t="shared" si="19"/>
        <v>33.5</v>
      </c>
    </row>
    <row r="108" spans="14:24" x14ac:dyDescent="0.25">
      <c r="N108" s="244">
        <f>Weather_Site!B114</f>
        <v>0</v>
      </c>
      <c r="O108" s="245">
        <f>Weather_Site!C114</f>
        <v>0</v>
      </c>
      <c r="P108" s="5">
        <f>Weather_Site!E114</f>
        <v>0</v>
      </c>
      <c r="Q108" s="245">
        <f t="shared" si="20"/>
        <v>0</v>
      </c>
      <c r="R108" s="5">
        <f t="shared" si="15"/>
        <v>0</v>
      </c>
      <c r="S108" s="5">
        <f t="shared" si="21"/>
        <v>0</v>
      </c>
      <c r="T108" s="247">
        <f t="shared" si="22"/>
        <v>0</v>
      </c>
      <c r="U108" s="5">
        <f t="shared" si="16"/>
        <v>0</v>
      </c>
      <c r="V108" s="247">
        <f t="shared" si="17"/>
        <v>0</v>
      </c>
      <c r="W108" s="276">
        <f t="shared" si="18"/>
        <v>33.5</v>
      </c>
      <c r="X108" s="277">
        <f t="shared" si="19"/>
        <v>33.5</v>
      </c>
    </row>
    <row r="109" spans="14:24" x14ac:dyDescent="0.25">
      <c r="N109" s="244">
        <f>Weather_Site!B115</f>
        <v>0</v>
      </c>
      <c r="O109" s="245">
        <f>Weather_Site!C115</f>
        <v>0</v>
      </c>
      <c r="P109" s="5">
        <f>Weather_Site!E115</f>
        <v>0</v>
      </c>
      <c r="Q109" s="245">
        <f t="shared" si="20"/>
        <v>0</v>
      </c>
      <c r="R109" s="5">
        <f t="shared" si="15"/>
        <v>0</v>
      </c>
      <c r="S109" s="5">
        <f t="shared" si="21"/>
        <v>0</v>
      </c>
      <c r="T109" s="247">
        <f t="shared" si="22"/>
        <v>0</v>
      </c>
      <c r="U109" s="5">
        <f t="shared" si="16"/>
        <v>0</v>
      </c>
      <c r="V109" s="247">
        <f t="shared" si="17"/>
        <v>0</v>
      </c>
      <c r="W109" s="276">
        <f t="shared" si="18"/>
        <v>33.5</v>
      </c>
      <c r="X109" s="277">
        <f t="shared" si="19"/>
        <v>33.5</v>
      </c>
    </row>
    <row r="110" spans="14:24" x14ac:dyDescent="0.25">
      <c r="N110" s="244">
        <f>Weather_Site!B116</f>
        <v>0</v>
      </c>
      <c r="O110" s="245">
        <f>Weather_Site!C116</f>
        <v>0</v>
      </c>
      <c r="P110" s="5">
        <f>Weather_Site!E116</f>
        <v>0</v>
      </c>
      <c r="Q110" s="245">
        <f t="shared" si="20"/>
        <v>0</v>
      </c>
      <c r="R110" s="5">
        <f t="shared" si="15"/>
        <v>0</v>
      </c>
      <c r="S110" s="5">
        <f t="shared" si="21"/>
        <v>0</v>
      </c>
      <c r="T110" s="247">
        <f t="shared" si="22"/>
        <v>0</v>
      </c>
      <c r="U110" s="5">
        <f t="shared" si="16"/>
        <v>0</v>
      </c>
      <c r="V110" s="247">
        <f t="shared" si="17"/>
        <v>0</v>
      </c>
      <c r="W110" s="276">
        <f t="shared" si="18"/>
        <v>33.5</v>
      </c>
      <c r="X110" s="277">
        <f t="shared" si="19"/>
        <v>33.5</v>
      </c>
    </row>
    <row r="111" spans="14:24" x14ac:dyDescent="0.25">
      <c r="N111" s="244">
        <f>Weather_Site!B117</f>
        <v>0</v>
      </c>
      <c r="O111" s="245">
        <f>Weather_Site!C117</f>
        <v>0</v>
      </c>
      <c r="P111" s="5">
        <f>Weather_Site!E117</f>
        <v>0</v>
      </c>
      <c r="Q111" s="245">
        <f t="shared" si="20"/>
        <v>0</v>
      </c>
      <c r="R111" s="5">
        <f t="shared" si="15"/>
        <v>0</v>
      </c>
      <c r="S111" s="5">
        <f t="shared" si="21"/>
        <v>0</v>
      </c>
      <c r="T111" s="247">
        <f t="shared" si="22"/>
        <v>0</v>
      </c>
      <c r="U111" s="5">
        <f t="shared" si="16"/>
        <v>0</v>
      </c>
      <c r="V111" s="247">
        <f t="shared" si="17"/>
        <v>0</v>
      </c>
      <c r="W111" s="276">
        <f t="shared" si="18"/>
        <v>33.5</v>
      </c>
      <c r="X111" s="277">
        <f t="shared" si="19"/>
        <v>33.5</v>
      </c>
    </row>
    <row r="112" spans="14:24" x14ac:dyDescent="0.25">
      <c r="N112" s="244">
        <f>Weather_Site!B118</f>
        <v>0</v>
      </c>
      <c r="O112" s="245">
        <f>Weather_Site!C118</f>
        <v>0</v>
      </c>
      <c r="P112" s="5">
        <f>Weather_Site!E118</f>
        <v>0</v>
      </c>
      <c r="Q112" s="245">
        <f t="shared" si="20"/>
        <v>0</v>
      </c>
      <c r="R112" s="5">
        <f t="shared" si="15"/>
        <v>0</v>
      </c>
      <c r="S112" s="5">
        <f t="shared" si="21"/>
        <v>0</v>
      </c>
      <c r="T112" s="247">
        <f t="shared" si="22"/>
        <v>0</v>
      </c>
      <c r="U112" s="5">
        <f t="shared" si="16"/>
        <v>0</v>
      </c>
      <c r="V112" s="247">
        <f t="shared" si="17"/>
        <v>0</v>
      </c>
      <c r="W112" s="276">
        <f t="shared" si="18"/>
        <v>33.5</v>
      </c>
      <c r="X112" s="277">
        <f t="shared" si="19"/>
        <v>33.5</v>
      </c>
    </row>
    <row r="113" spans="14:24" x14ac:dyDescent="0.25">
      <c r="N113" s="244">
        <f>Weather_Site!B119</f>
        <v>0</v>
      </c>
      <c r="O113" s="245">
        <f>Weather_Site!C119</f>
        <v>0</v>
      </c>
      <c r="P113" s="5">
        <f>Weather_Site!E119</f>
        <v>0</v>
      </c>
      <c r="Q113" s="245">
        <f t="shared" si="20"/>
        <v>0</v>
      </c>
      <c r="R113" s="5">
        <f t="shared" si="15"/>
        <v>0</v>
      </c>
      <c r="S113" s="5">
        <f t="shared" si="21"/>
        <v>0</v>
      </c>
      <c r="T113" s="247">
        <f t="shared" si="22"/>
        <v>0</v>
      </c>
      <c r="U113" s="5">
        <f t="shared" si="16"/>
        <v>0</v>
      </c>
      <c r="V113" s="247">
        <f t="shared" si="17"/>
        <v>0</v>
      </c>
      <c r="W113" s="276">
        <f t="shared" si="18"/>
        <v>33.5</v>
      </c>
      <c r="X113" s="277">
        <f t="shared" si="19"/>
        <v>33.5</v>
      </c>
    </row>
    <row r="114" spans="14:24" x14ac:dyDescent="0.25">
      <c r="N114" s="244">
        <f>Weather_Site!B120</f>
        <v>0</v>
      </c>
      <c r="O114" s="245">
        <f>Weather_Site!C120</f>
        <v>0</v>
      </c>
      <c r="P114" s="5">
        <f>Weather_Site!E120</f>
        <v>0</v>
      </c>
      <c r="Q114" s="245">
        <f t="shared" si="20"/>
        <v>0</v>
      </c>
      <c r="R114" s="5">
        <f t="shared" si="15"/>
        <v>0</v>
      </c>
      <c r="S114" s="5">
        <f t="shared" si="21"/>
        <v>0</v>
      </c>
      <c r="T114" s="247">
        <f t="shared" si="22"/>
        <v>0</v>
      </c>
      <c r="U114" s="5">
        <f t="shared" si="16"/>
        <v>0</v>
      </c>
      <c r="V114" s="247">
        <f t="shared" si="17"/>
        <v>0</v>
      </c>
      <c r="W114" s="276">
        <f t="shared" si="18"/>
        <v>33.5</v>
      </c>
      <c r="X114" s="277">
        <f t="shared" si="19"/>
        <v>33.5</v>
      </c>
    </row>
    <row r="115" spans="14:24" x14ac:dyDescent="0.25">
      <c r="N115" s="244">
        <f>Weather_Site!B121</f>
        <v>0</v>
      </c>
      <c r="O115" s="245">
        <f>Weather_Site!C121</f>
        <v>0</v>
      </c>
      <c r="P115" s="5">
        <f>Weather_Site!E121</f>
        <v>0</v>
      </c>
      <c r="Q115" s="245">
        <f t="shared" si="20"/>
        <v>0</v>
      </c>
      <c r="R115" s="5">
        <f t="shared" si="15"/>
        <v>0</v>
      </c>
      <c r="S115" s="5">
        <f t="shared" si="21"/>
        <v>0</v>
      </c>
      <c r="T115" s="247">
        <f t="shared" si="22"/>
        <v>0</v>
      </c>
      <c r="U115" s="5">
        <f t="shared" si="16"/>
        <v>0</v>
      </c>
      <c r="V115" s="247">
        <f t="shared" si="17"/>
        <v>0</v>
      </c>
      <c r="W115" s="276">
        <f t="shared" si="18"/>
        <v>33.5</v>
      </c>
      <c r="X115" s="277">
        <f t="shared" si="19"/>
        <v>33.5</v>
      </c>
    </row>
    <row r="116" spans="14:24" x14ac:dyDescent="0.25">
      <c r="N116" s="244">
        <f>Weather_Site!B122</f>
        <v>0</v>
      </c>
      <c r="O116" s="245">
        <f>Weather_Site!C122</f>
        <v>0</v>
      </c>
      <c r="P116" s="5">
        <f>Weather_Site!E122</f>
        <v>0</v>
      </c>
      <c r="Q116" s="245">
        <f t="shared" si="20"/>
        <v>0</v>
      </c>
      <c r="R116" s="5">
        <f t="shared" si="15"/>
        <v>0</v>
      </c>
      <c r="S116" s="5">
        <f t="shared" si="21"/>
        <v>0</v>
      </c>
      <c r="T116" s="247">
        <f t="shared" si="22"/>
        <v>0</v>
      </c>
      <c r="U116" s="5">
        <f t="shared" si="16"/>
        <v>0</v>
      </c>
      <c r="V116" s="247">
        <f t="shared" si="17"/>
        <v>0</v>
      </c>
      <c r="W116" s="276">
        <f t="shared" si="18"/>
        <v>33.5</v>
      </c>
      <c r="X116" s="277">
        <f t="shared" si="19"/>
        <v>33.5</v>
      </c>
    </row>
    <row r="117" spans="14:24" x14ac:dyDescent="0.25">
      <c r="N117" s="244">
        <f>Weather_Site!B123</f>
        <v>0</v>
      </c>
      <c r="O117" s="245">
        <f>Weather_Site!C123</f>
        <v>0</v>
      </c>
      <c r="P117" s="5">
        <f>Weather_Site!E123</f>
        <v>0</v>
      </c>
      <c r="Q117" s="245">
        <f t="shared" si="20"/>
        <v>0</v>
      </c>
      <c r="R117" s="5">
        <f t="shared" si="15"/>
        <v>0</v>
      </c>
      <c r="S117" s="5">
        <f t="shared" si="21"/>
        <v>0</v>
      </c>
      <c r="T117" s="247">
        <f t="shared" si="22"/>
        <v>0</v>
      </c>
      <c r="U117" s="5">
        <f t="shared" si="16"/>
        <v>0</v>
      </c>
      <c r="V117" s="247">
        <f t="shared" si="17"/>
        <v>0</v>
      </c>
      <c r="W117" s="276">
        <f t="shared" si="18"/>
        <v>33.5</v>
      </c>
      <c r="X117" s="277">
        <f t="shared" si="19"/>
        <v>33.5</v>
      </c>
    </row>
    <row r="118" spans="14:24" x14ac:dyDescent="0.25">
      <c r="N118" s="244">
        <f>Weather_Site!B124</f>
        <v>0</v>
      </c>
      <c r="O118" s="245">
        <f>Weather_Site!C124</f>
        <v>0</v>
      </c>
      <c r="P118" s="5">
        <f>Weather_Site!E124</f>
        <v>0</v>
      </c>
      <c r="Q118" s="245">
        <f t="shared" si="20"/>
        <v>0</v>
      </c>
      <c r="R118" s="5">
        <f t="shared" si="15"/>
        <v>0</v>
      </c>
      <c r="S118" s="5">
        <f t="shared" si="21"/>
        <v>0</v>
      </c>
      <c r="T118" s="247">
        <f t="shared" si="22"/>
        <v>0</v>
      </c>
      <c r="U118" s="5">
        <f t="shared" si="16"/>
        <v>0</v>
      </c>
      <c r="V118" s="247">
        <f t="shared" si="17"/>
        <v>0</v>
      </c>
      <c r="W118" s="276">
        <f t="shared" si="18"/>
        <v>33.5</v>
      </c>
      <c r="X118" s="277">
        <f t="shared" si="19"/>
        <v>33.5</v>
      </c>
    </row>
    <row r="119" spans="14:24" x14ac:dyDescent="0.25">
      <c r="N119" s="244">
        <f>Weather_Site!B125</f>
        <v>0</v>
      </c>
      <c r="O119" s="245">
        <f>Weather_Site!C125</f>
        <v>0</v>
      </c>
      <c r="P119" s="5">
        <f>Weather_Site!E125</f>
        <v>0</v>
      </c>
      <c r="Q119" s="245">
        <f t="shared" si="20"/>
        <v>0</v>
      </c>
      <c r="R119" s="5">
        <f t="shared" si="15"/>
        <v>0</v>
      </c>
      <c r="S119" s="5">
        <f t="shared" si="21"/>
        <v>0</v>
      </c>
      <c r="T119" s="247">
        <f t="shared" si="22"/>
        <v>0</v>
      </c>
      <c r="U119" s="5">
        <f t="shared" si="16"/>
        <v>0</v>
      </c>
      <c r="V119" s="247">
        <f t="shared" si="17"/>
        <v>0</v>
      </c>
      <c r="W119" s="276">
        <f t="shared" si="18"/>
        <v>33.5</v>
      </c>
      <c r="X119" s="277">
        <f t="shared" si="19"/>
        <v>33.5</v>
      </c>
    </row>
    <row r="120" spans="14:24" x14ac:dyDescent="0.25">
      <c r="N120" s="244">
        <f>Weather_Site!B126</f>
        <v>0</v>
      </c>
      <c r="O120" s="245">
        <f>Weather_Site!C126</f>
        <v>0</v>
      </c>
      <c r="P120" s="5">
        <f>Weather_Site!E126</f>
        <v>0</v>
      </c>
      <c r="Q120" s="245">
        <f t="shared" si="20"/>
        <v>0</v>
      </c>
      <c r="R120" s="5">
        <f t="shared" si="15"/>
        <v>0</v>
      </c>
      <c r="S120" s="5">
        <f t="shared" si="21"/>
        <v>0</v>
      </c>
      <c r="T120" s="247">
        <f t="shared" si="22"/>
        <v>0</v>
      </c>
      <c r="U120" s="5">
        <f t="shared" si="16"/>
        <v>0</v>
      </c>
      <c r="V120" s="247">
        <f t="shared" si="17"/>
        <v>0</v>
      </c>
      <c r="W120" s="276">
        <f t="shared" si="18"/>
        <v>33.5</v>
      </c>
      <c r="X120" s="277">
        <f t="shared" si="19"/>
        <v>33.5</v>
      </c>
    </row>
    <row r="121" spans="14:24" x14ac:dyDescent="0.25">
      <c r="N121" s="244">
        <f>Weather_Site!B127</f>
        <v>0</v>
      </c>
      <c r="O121" s="245">
        <f>Weather_Site!C127</f>
        <v>0</v>
      </c>
      <c r="P121" s="5">
        <f>Weather_Site!E127</f>
        <v>0</v>
      </c>
      <c r="Q121" s="245">
        <f t="shared" si="20"/>
        <v>0</v>
      </c>
      <c r="R121" s="5">
        <f t="shared" si="15"/>
        <v>0</v>
      </c>
      <c r="S121" s="5">
        <f t="shared" si="21"/>
        <v>0</v>
      </c>
      <c r="T121" s="247">
        <f t="shared" si="22"/>
        <v>0</v>
      </c>
      <c r="U121" s="5">
        <f t="shared" si="16"/>
        <v>0</v>
      </c>
      <c r="V121" s="247">
        <f t="shared" si="17"/>
        <v>0</v>
      </c>
      <c r="W121" s="276">
        <f t="shared" si="18"/>
        <v>33.5</v>
      </c>
      <c r="X121" s="277">
        <f t="shared" si="19"/>
        <v>33.5</v>
      </c>
    </row>
    <row r="122" spans="14:24" x14ac:dyDescent="0.25">
      <c r="N122" s="244">
        <f>Weather_Site!B128</f>
        <v>0</v>
      </c>
      <c r="O122" s="245">
        <f>Weather_Site!C128</f>
        <v>0</v>
      </c>
      <c r="P122" s="5">
        <f>Weather_Site!E128</f>
        <v>0</v>
      </c>
      <c r="Q122" s="245">
        <f t="shared" si="20"/>
        <v>0</v>
      </c>
      <c r="R122" s="5">
        <f t="shared" si="15"/>
        <v>0</v>
      </c>
      <c r="S122" s="5">
        <f t="shared" si="21"/>
        <v>0</v>
      </c>
      <c r="T122" s="247">
        <f t="shared" si="22"/>
        <v>0</v>
      </c>
      <c r="U122" s="5">
        <f t="shared" si="16"/>
        <v>0</v>
      </c>
      <c r="V122" s="247">
        <f t="shared" si="17"/>
        <v>0</v>
      </c>
      <c r="W122" s="276">
        <f t="shared" si="18"/>
        <v>33.5</v>
      </c>
      <c r="X122" s="277">
        <f t="shared" si="19"/>
        <v>33.5</v>
      </c>
    </row>
    <row r="123" spans="14:24" x14ac:dyDescent="0.25">
      <c r="N123" s="244">
        <f>Weather_Site!B129</f>
        <v>0</v>
      </c>
      <c r="O123" s="245">
        <f>Weather_Site!C129</f>
        <v>0</v>
      </c>
      <c r="P123" s="5">
        <f>Weather_Site!E129</f>
        <v>0</v>
      </c>
      <c r="Q123" s="245">
        <f t="shared" si="20"/>
        <v>0</v>
      </c>
      <c r="R123" s="5">
        <f t="shared" si="15"/>
        <v>0</v>
      </c>
      <c r="S123" s="5">
        <f t="shared" si="21"/>
        <v>0</v>
      </c>
      <c r="T123" s="247">
        <f t="shared" si="22"/>
        <v>0</v>
      </c>
      <c r="U123" s="5">
        <f t="shared" si="16"/>
        <v>0</v>
      </c>
      <c r="V123" s="247">
        <f t="shared" si="17"/>
        <v>0</v>
      </c>
      <c r="W123" s="276">
        <f t="shared" si="18"/>
        <v>33.5</v>
      </c>
      <c r="X123" s="277">
        <f t="shared" si="19"/>
        <v>33.5</v>
      </c>
    </row>
    <row r="124" spans="14:24" x14ac:dyDescent="0.25">
      <c r="N124" s="244">
        <f>Weather_Site!B130</f>
        <v>0</v>
      </c>
      <c r="O124" s="245">
        <f>Weather_Site!C130</f>
        <v>0</v>
      </c>
      <c r="P124" s="5">
        <f>Weather_Site!E130</f>
        <v>0</v>
      </c>
      <c r="Q124" s="245">
        <f t="shared" si="20"/>
        <v>0</v>
      </c>
      <c r="R124" s="5">
        <f t="shared" si="15"/>
        <v>0</v>
      </c>
      <c r="S124" s="5">
        <f t="shared" si="21"/>
        <v>0</v>
      </c>
      <c r="T124" s="247">
        <f t="shared" si="22"/>
        <v>0</v>
      </c>
      <c r="U124" s="5">
        <f t="shared" si="16"/>
        <v>0</v>
      </c>
      <c r="V124" s="247">
        <f t="shared" si="17"/>
        <v>0</v>
      </c>
      <c r="W124" s="276">
        <f t="shared" si="18"/>
        <v>33.5</v>
      </c>
      <c r="X124" s="277">
        <f t="shared" si="19"/>
        <v>33.5</v>
      </c>
    </row>
    <row r="125" spans="14:24" x14ac:dyDescent="0.25">
      <c r="N125" s="244">
        <f>Weather_Site!B131</f>
        <v>0</v>
      </c>
      <c r="O125" s="245">
        <f>Weather_Site!C131</f>
        <v>0</v>
      </c>
      <c r="P125" s="5">
        <f>Weather_Site!E131</f>
        <v>0</v>
      </c>
      <c r="Q125" s="245">
        <f t="shared" si="20"/>
        <v>0</v>
      </c>
      <c r="R125" s="5">
        <f t="shared" si="15"/>
        <v>0</v>
      </c>
      <c r="S125" s="5">
        <f t="shared" si="21"/>
        <v>0</v>
      </c>
      <c r="T125" s="247">
        <f t="shared" si="22"/>
        <v>0</v>
      </c>
      <c r="U125" s="5">
        <f t="shared" si="16"/>
        <v>0</v>
      </c>
      <c r="V125" s="247">
        <f t="shared" si="17"/>
        <v>0</v>
      </c>
      <c r="W125" s="276">
        <f t="shared" si="18"/>
        <v>33.5</v>
      </c>
      <c r="X125" s="277">
        <f t="shared" si="19"/>
        <v>33.5</v>
      </c>
    </row>
    <row r="126" spans="14:24" x14ac:dyDescent="0.25">
      <c r="N126" s="244">
        <f>Weather_Site!B132</f>
        <v>0</v>
      </c>
      <c r="O126" s="245">
        <f>Weather_Site!C132</f>
        <v>0</v>
      </c>
      <c r="P126" s="5">
        <f>Weather_Site!E132</f>
        <v>0</v>
      </c>
      <c r="Q126" s="245">
        <f t="shared" si="20"/>
        <v>0</v>
      </c>
      <c r="R126" s="5">
        <f t="shared" si="15"/>
        <v>0</v>
      </c>
      <c r="S126" s="5">
        <f t="shared" si="21"/>
        <v>0</v>
      </c>
      <c r="T126" s="247">
        <f t="shared" si="22"/>
        <v>0</v>
      </c>
      <c r="U126" s="5">
        <f t="shared" si="16"/>
        <v>0</v>
      </c>
      <c r="V126" s="247">
        <f t="shared" si="17"/>
        <v>0</v>
      </c>
      <c r="W126" s="276">
        <f t="shared" si="18"/>
        <v>33.5</v>
      </c>
      <c r="X126" s="277">
        <f t="shared" si="19"/>
        <v>33.5</v>
      </c>
    </row>
    <row r="127" spans="14:24" x14ac:dyDescent="0.25">
      <c r="N127" s="244">
        <f>Weather_Site!B133</f>
        <v>0</v>
      </c>
      <c r="O127" s="245">
        <f>Weather_Site!C133</f>
        <v>0</v>
      </c>
      <c r="P127" s="5">
        <f>Weather_Site!E133</f>
        <v>0</v>
      </c>
      <c r="Q127" s="245">
        <f t="shared" si="20"/>
        <v>0</v>
      </c>
      <c r="R127" s="5">
        <f t="shared" si="15"/>
        <v>0</v>
      </c>
      <c r="S127" s="5">
        <f t="shared" si="21"/>
        <v>0</v>
      </c>
      <c r="T127" s="247">
        <f t="shared" si="22"/>
        <v>0</v>
      </c>
      <c r="U127" s="5">
        <f t="shared" si="16"/>
        <v>0</v>
      </c>
      <c r="V127" s="247">
        <f t="shared" si="17"/>
        <v>0</v>
      </c>
      <c r="W127" s="276">
        <f t="shared" si="18"/>
        <v>33.5</v>
      </c>
      <c r="X127" s="277">
        <f t="shared" si="19"/>
        <v>33.5</v>
      </c>
    </row>
    <row r="128" spans="14:24" x14ac:dyDescent="0.25">
      <c r="N128" s="244">
        <f>Weather_Site!B134</f>
        <v>0</v>
      </c>
      <c r="O128" s="245">
        <f>Weather_Site!C134</f>
        <v>0</v>
      </c>
      <c r="P128" s="5">
        <f>Weather_Site!E134</f>
        <v>0</v>
      </c>
      <c r="Q128" s="245">
        <f t="shared" si="20"/>
        <v>0</v>
      </c>
      <c r="R128" s="5">
        <f t="shared" si="15"/>
        <v>0</v>
      </c>
      <c r="S128" s="5">
        <f t="shared" si="21"/>
        <v>0</v>
      </c>
      <c r="T128" s="247">
        <f t="shared" si="22"/>
        <v>0</v>
      </c>
      <c r="U128" s="5">
        <f t="shared" si="16"/>
        <v>0</v>
      </c>
      <c r="V128" s="247">
        <f t="shared" si="17"/>
        <v>0</v>
      </c>
      <c r="W128" s="276">
        <f t="shared" si="18"/>
        <v>33.5</v>
      </c>
      <c r="X128" s="277">
        <f t="shared" si="19"/>
        <v>33.5</v>
      </c>
    </row>
    <row r="129" spans="14:24" x14ac:dyDescent="0.25">
      <c r="N129" s="244">
        <f>Weather_Site!B135</f>
        <v>0</v>
      </c>
      <c r="O129" s="245">
        <f>Weather_Site!C135</f>
        <v>0</v>
      </c>
      <c r="P129" s="5">
        <f>Weather_Site!E135</f>
        <v>0</v>
      </c>
      <c r="Q129" s="245">
        <f t="shared" si="20"/>
        <v>0</v>
      </c>
      <c r="R129" s="5">
        <f t="shared" si="15"/>
        <v>0</v>
      </c>
      <c r="S129" s="5">
        <f t="shared" si="21"/>
        <v>0</v>
      </c>
      <c r="T129" s="247">
        <f t="shared" si="22"/>
        <v>0</v>
      </c>
      <c r="U129" s="5">
        <f t="shared" si="16"/>
        <v>0</v>
      </c>
      <c r="V129" s="247">
        <f t="shared" si="17"/>
        <v>0</v>
      </c>
      <c r="W129" s="276">
        <f t="shared" si="18"/>
        <v>33.5</v>
      </c>
      <c r="X129" s="277">
        <f t="shared" si="19"/>
        <v>33.5</v>
      </c>
    </row>
    <row r="130" spans="14:24" x14ac:dyDescent="0.25">
      <c r="N130" s="244">
        <f>Weather_Site!B136</f>
        <v>0</v>
      </c>
      <c r="O130" s="245">
        <f>Weather_Site!C136</f>
        <v>0</v>
      </c>
      <c r="P130" s="5">
        <f>Weather_Site!E136</f>
        <v>0</v>
      </c>
      <c r="Q130" s="245">
        <f t="shared" si="20"/>
        <v>0</v>
      </c>
      <c r="R130" s="5">
        <f t="shared" si="15"/>
        <v>0</v>
      </c>
      <c r="S130" s="5">
        <f t="shared" si="21"/>
        <v>0</v>
      </c>
      <c r="T130" s="247">
        <f t="shared" si="22"/>
        <v>0</v>
      </c>
      <c r="U130" s="5">
        <f t="shared" si="16"/>
        <v>0</v>
      </c>
      <c r="V130" s="247">
        <f t="shared" si="17"/>
        <v>0</v>
      </c>
      <c r="W130" s="276">
        <f t="shared" si="18"/>
        <v>33.5</v>
      </c>
      <c r="X130" s="277">
        <f t="shared" si="19"/>
        <v>33.5</v>
      </c>
    </row>
    <row r="131" spans="14:24" x14ac:dyDescent="0.25">
      <c r="N131" s="244">
        <f>Weather_Site!B137</f>
        <v>0</v>
      </c>
      <c r="O131" s="245">
        <f>Weather_Site!C137</f>
        <v>0</v>
      </c>
      <c r="P131" s="5">
        <f>Weather_Site!E137</f>
        <v>0</v>
      </c>
      <c r="Q131" s="245">
        <f t="shared" si="20"/>
        <v>0</v>
      </c>
      <c r="R131" s="5">
        <f t="shared" si="15"/>
        <v>0</v>
      </c>
      <c r="S131" s="5">
        <f t="shared" si="21"/>
        <v>0</v>
      </c>
      <c r="T131" s="247">
        <f t="shared" si="22"/>
        <v>0</v>
      </c>
      <c r="U131" s="5">
        <f t="shared" si="16"/>
        <v>0</v>
      </c>
      <c r="V131" s="247">
        <f t="shared" si="17"/>
        <v>0</v>
      </c>
      <c r="W131" s="276">
        <f t="shared" si="18"/>
        <v>33.5</v>
      </c>
      <c r="X131" s="277">
        <f t="shared" si="19"/>
        <v>33.5</v>
      </c>
    </row>
    <row r="132" spans="14:24" x14ac:dyDescent="0.25">
      <c r="N132" s="244">
        <f>Weather_Site!B138</f>
        <v>0</v>
      </c>
      <c r="O132" s="245">
        <f>Weather_Site!C138</f>
        <v>0</v>
      </c>
      <c r="P132" s="5">
        <f>Weather_Site!E138</f>
        <v>0</v>
      </c>
      <c r="Q132" s="245">
        <f t="shared" si="20"/>
        <v>0</v>
      </c>
      <c r="R132" s="5">
        <f t="shared" si="15"/>
        <v>0</v>
      </c>
      <c r="S132" s="5">
        <f t="shared" si="21"/>
        <v>0</v>
      </c>
      <c r="T132" s="247">
        <f t="shared" si="22"/>
        <v>0</v>
      </c>
      <c r="U132" s="5">
        <f t="shared" si="16"/>
        <v>0</v>
      </c>
      <c r="V132" s="247">
        <f t="shared" si="17"/>
        <v>0</v>
      </c>
      <c r="W132" s="276">
        <f t="shared" si="18"/>
        <v>33.5</v>
      </c>
      <c r="X132" s="277">
        <f t="shared" si="19"/>
        <v>33.5</v>
      </c>
    </row>
    <row r="133" spans="14:24" x14ac:dyDescent="0.25">
      <c r="N133" s="244">
        <f>Weather_Site!B139</f>
        <v>0</v>
      </c>
      <c r="O133" s="245">
        <f>Weather_Site!C139</f>
        <v>0</v>
      </c>
      <c r="P133" s="5">
        <f>Weather_Site!E139</f>
        <v>0</v>
      </c>
      <c r="Q133" s="245">
        <f t="shared" si="20"/>
        <v>0</v>
      </c>
      <c r="R133" s="5">
        <f t="shared" si="15"/>
        <v>0</v>
      </c>
      <c r="S133" s="5">
        <f t="shared" si="21"/>
        <v>0</v>
      </c>
      <c r="T133" s="247">
        <f t="shared" si="22"/>
        <v>0</v>
      </c>
      <c r="U133" s="5">
        <f t="shared" si="16"/>
        <v>0</v>
      </c>
      <c r="V133" s="247">
        <f t="shared" si="17"/>
        <v>0</v>
      </c>
      <c r="W133" s="276">
        <f t="shared" si="18"/>
        <v>33.5</v>
      </c>
      <c r="X133" s="277">
        <f t="shared" si="19"/>
        <v>33.5</v>
      </c>
    </row>
    <row r="134" spans="14:24" x14ac:dyDescent="0.25">
      <c r="N134" s="244">
        <f>Weather_Site!B140</f>
        <v>0</v>
      </c>
      <c r="O134" s="245">
        <f>Weather_Site!C140</f>
        <v>0</v>
      </c>
      <c r="P134" s="5">
        <f>Weather_Site!E140</f>
        <v>0</v>
      </c>
      <c r="Q134" s="245">
        <f t="shared" si="20"/>
        <v>0</v>
      </c>
      <c r="R134" s="5">
        <f t="shared" si="15"/>
        <v>0</v>
      </c>
      <c r="S134" s="5">
        <f t="shared" si="21"/>
        <v>0</v>
      </c>
      <c r="T134" s="247">
        <f t="shared" si="22"/>
        <v>0</v>
      </c>
      <c r="U134" s="5">
        <f t="shared" si="16"/>
        <v>0</v>
      </c>
      <c r="V134" s="247">
        <f t="shared" si="17"/>
        <v>0</v>
      </c>
      <c r="W134" s="276">
        <f t="shared" si="18"/>
        <v>33.5</v>
      </c>
      <c r="X134" s="277">
        <f t="shared" si="19"/>
        <v>33.5</v>
      </c>
    </row>
    <row r="135" spans="14:24" x14ac:dyDescent="0.25">
      <c r="N135" s="244">
        <f>Weather_Site!B141</f>
        <v>0</v>
      </c>
      <c r="O135" s="245">
        <f>Weather_Site!C141</f>
        <v>0</v>
      </c>
      <c r="P135" s="5">
        <f>Weather_Site!E141</f>
        <v>0</v>
      </c>
      <c r="Q135" s="245">
        <f t="shared" si="20"/>
        <v>0</v>
      </c>
      <c r="R135" s="5">
        <f t="shared" si="15"/>
        <v>0</v>
      </c>
      <c r="S135" s="5">
        <f t="shared" si="21"/>
        <v>0</v>
      </c>
      <c r="T135" s="247">
        <f t="shared" si="22"/>
        <v>0</v>
      </c>
      <c r="U135" s="5">
        <f t="shared" si="16"/>
        <v>0</v>
      </c>
      <c r="V135" s="247">
        <f t="shared" si="17"/>
        <v>0</v>
      </c>
      <c r="W135" s="276">
        <f t="shared" si="18"/>
        <v>33.5</v>
      </c>
      <c r="X135" s="277">
        <f t="shared" si="19"/>
        <v>33.5</v>
      </c>
    </row>
    <row r="136" spans="14:24" x14ac:dyDescent="0.25">
      <c r="N136" s="244">
        <f>Weather_Site!B142</f>
        <v>0</v>
      </c>
      <c r="O136" s="245">
        <f>Weather_Site!C142</f>
        <v>0</v>
      </c>
      <c r="P136" s="5">
        <f>Weather_Site!E142</f>
        <v>0</v>
      </c>
      <c r="Q136" s="245">
        <f t="shared" si="20"/>
        <v>0</v>
      </c>
      <c r="R136" s="5">
        <f t="shared" ref="R136:R199" si="23">HOUR(Q136)</f>
        <v>0</v>
      </c>
      <c r="S136" s="5">
        <f t="shared" si="21"/>
        <v>0</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33.5</v>
      </c>
      <c r="X136" s="277">
        <f t="shared" si="19"/>
        <v>33.5</v>
      </c>
    </row>
    <row r="137" spans="14:24" x14ac:dyDescent="0.25">
      <c r="N137" s="244">
        <f>Weather_Site!B143</f>
        <v>0</v>
      </c>
      <c r="O137" s="245">
        <f>Weather_Site!C143</f>
        <v>0</v>
      </c>
      <c r="P137" s="5">
        <f>Weather_Site!E143</f>
        <v>0</v>
      </c>
      <c r="Q137" s="245">
        <f t="shared" si="20"/>
        <v>0</v>
      </c>
      <c r="R137" s="5">
        <f t="shared" si="23"/>
        <v>0</v>
      </c>
      <c r="S137" s="5">
        <f t="shared" si="21"/>
        <v>0</v>
      </c>
      <c r="T137" s="247">
        <f t="shared" si="22"/>
        <v>0</v>
      </c>
      <c r="U137" s="5">
        <f t="shared" si="24"/>
        <v>0</v>
      </c>
      <c r="V137" s="247">
        <f t="shared" si="25"/>
        <v>0</v>
      </c>
      <c r="W137" s="276">
        <f t="shared" si="26"/>
        <v>33.5</v>
      </c>
      <c r="X137" s="277">
        <f t="shared" si="19"/>
        <v>33.5</v>
      </c>
    </row>
    <row r="138" spans="14:24" x14ac:dyDescent="0.25">
      <c r="N138" s="244">
        <f>Weather_Site!B144</f>
        <v>0</v>
      </c>
      <c r="O138" s="245">
        <f>Weather_Site!C144</f>
        <v>0</v>
      </c>
      <c r="P138" s="5">
        <f>Weather_Site!E144</f>
        <v>0</v>
      </c>
      <c r="Q138" s="245">
        <f t="shared" si="20"/>
        <v>0</v>
      </c>
      <c r="R138" s="5">
        <f t="shared" si="23"/>
        <v>0</v>
      </c>
      <c r="S138" s="5">
        <f t="shared" si="21"/>
        <v>0</v>
      </c>
      <c r="T138" s="247">
        <f t="shared" si="22"/>
        <v>0</v>
      </c>
      <c r="U138" s="5">
        <f t="shared" si="24"/>
        <v>0</v>
      </c>
      <c r="V138" s="247">
        <f t="shared" si="25"/>
        <v>0</v>
      </c>
      <c r="W138" s="276">
        <f t="shared" si="26"/>
        <v>33.5</v>
      </c>
      <c r="X138" s="277">
        <f t="shared" si="19"/>
        <v>33.5</v>
      </c>
    </row>
    <row r="139" spans="14:24" x14ac:dyDescent="0.25">
      <c r="N139" s="244">
        <f>Weather_Site!B145</f>
        <v>0</v>
      </c>
      <c r="O139" s="245">
        <f>Weather_Site!C145</f>
        <v>0</v>
      </c>
      <c r="P139" s="5">
        <f>Weather_Site!E145</f>
        <v>0</v>
      </c>
      <c r="Q139" s="245">
        <f t="shared" si="20"/>
        <v>0</v>
      </c>
      <c r="R139" s="5">
        <f t="shared" si="23"/>
        <v>0</v>
      </c>
      <c r="S139" s="5">
        <f t="shared" si="21"/>
        <v>0</v>
      </c>
      <c r="T139" s="247">
        <f t="shared" si="22"/>
        <v>0</v>
      </c>
      <c r="U139" s="5">
        <f t="shared" si="24"/>
        <v>0</v>
      </c>
      <c r="V139" s="247">
        <f t="shared" si="25"/>
        <v>0</v>
      </c>
      <c r="W139" s="276">
        <f t="shared" si="26"/>
        <v>33.5</v>
      </c>
      <c r="X139" s="277">
        <f t="shared" si="19"/>
        <v>33.5</v>
      </c>
    </row>
    <row r="140" spans="14:24" x14ac:dyDescent="0.25">
      <c r="N140" s="244">
        <f>Weather_Site!B146</f>
        <v>0</v>
      </c>
      <c r="O140" s="245">
        <f>Weather_Site!C146</f>
        <v>0</v>
      </c>
      <c r="P140" s="5">
        <f>Weather_Site!E146</f>
        <v>0</v>
      </c>
      <c r="Q140" s="245">
        <f t="shared" si="20"/>
        <v>0</v>
      </c>
      <c r="R140" s="5">
        <f t="shared" si="23"/>
        <v>0</v>
      </c>
      <c r="S140" s="5">
        <f t="shared" si="21"/>
        <v>0</v>
      </c>
      <c r="T140" s="247">
        <f t="shared" si="22"/>
        <v>0</v>
      </c>
      <c r="U140" s="5">
        <f t="shared" si="24"/>
        <v>0</v>
      </c>
      <c r="V140" s="247">
        <f t="shared" si="25"/>
        <v>0</v>
      </c>
      <c r="W140" s="276">
        <f t="shared" si="26"/>
        <v>33.5</v>
      </c>
      <c r="X140" s="277">
        <f t="shared" si="19"/>
        <v>33.5</v>
      </c>
    </row>
    <row r="141" spans="14:24" x14ac:dyDescent="0.25">
      <c r="N141" s="244">
        <f>Weather_Site!B147</f>
        <v>0</v>
      </c>
      <c r="O141" s="245">
        <f>Weather_Site!C147</f>
        <v>0</v>
      </c>
      <c r="P141" s="5">
        <f>Weather_Site!E147</f>
        <v>0</v>
      </c>
      <c r="Q141" s="245">
        <f t="shared" si="20"/>
        <v>0</v>
      </c>
      <c r="R141" s="5">
        <f t="shared" si="23"/>
        <v>0</v>
      </c>
      <c r="S141" s="5">
        <f t="shared" si="21"/>
        <v>0</v>
      </c>
      <c r="T141" s="247">
        <f t="shared" si="22"/>
        <v>0</v>
      </c>
      <c r="U141" s="5">
        <f t="shared" si="24"/>
        <v>0</v>
      </c>
      <c r="V141" s="247">
        <f t="shared" si="25"/>
        <v>0</v>
      </c>
      <c r="W141" s="276">
        <f t="shared" si="26"/>
        <v>33.5</v>
      </c>
      <c r="X141" s="277">
        <f t="shared" si="19"/>
        <v>33.5</v>
      </c>
    </row>
    <row r="142" spans="14:24" x14ac:dyDescent="0.25">
      <c r="N142" s="244">
        <f>Weather_Site!B148</f>
        <v>0</v>
      </c>
      <c r="O142" s="245">
        <f>Weather_Site!C148</f>
        <v>0</v>
      </c>
      <c r="P142" s="5">
        <f>Weather_Site!E148</f>
        <v>0</v>
      </c>
      <c r="Q142" s="245">
        <f t="shared" si="20"/>
        <v>0</v>
      </c>
      <c r="R142" s="5">
        <f t="shared" si="23"/>
        <v>0</v>
      </c>
      <c r="S142" s="5">
        <f t="shared" si="21"/>
        <v>0</v>
      </c>
      <c r="T142" s="247">
        <f t="shared" si="22"/>
        <v>0</v>
      </c>
      <c r="U142" s="5">
        <f t="shared" si="24"/>
        <v>0</v>
      </c>
      <c r="V142" s="247">
        <f t="shared" si="25"/>
        <v>0</v>
      </c>
      <c r="W142" s="276">
        <f t="shared" si="26"/>
        <v>33.5</v>
      </c>
      <c r="X142" s="277">
        <f t="shared" si="19"/>
        <v>33.5</v>
      </c>
    </row>
    <row r="143" spans="14:24" x14ac:dyDescent="0.25">
      <c r="N143" s="244">
        <f>Weather_Site!B149</f>
        <v>0</v>
      </c>
      <c r="O143" s="245">
        <f>Weather_Site!C149</f>
        <v>0</v>
      </c>
      <c r="P143" s="5">
        <f>Weather_Site!E149</f>
        <v>0</v>
      </c>
      <c r="Q143" s="245">
        <f t="shared" si="20"/>
        <v>0</v>
      </c>
      <c r="R143" s="5">
        <f t="shared" si="23"/>
        <v>0</v>
      </c>
      <c r="S143" s="5">
        <f t="shared" si="21"/>
        <v>0</v>
      </c>
      <c r="T143" s="247">
        <f t="shared" si="22"/>
        <v>0</v>
      </c>
      <c r="U143" s="5">
        <f t="shared" si="24"/>
        <v>0</v>
      </c>
      <c r="V143" s="247">
        <f t="shared" si="25"/>
        <v>0</v>
      </c>
      <c r="W143" s="276">
        <f t="shared" si="26"/>
        <v>33.5</v>
      </c>
      <c r="X143" s="277">
        <f t="shared" si="19"/>
        <v>33.5</v>
      </c>
    </row>
    <row r="144" spans="14:24" x14ac:dyDescent="0.25">
      <c r="N144" s="244">
        <f>Weather_Site!B150</f>
        <v>0</v>
      </c>
      <c r="O144" s="245">
        <f>Weather_Site!C150</f>
        <v>0</v>
      </c>
      <c r="P144" s="5">
        <f>Weather_Site!E150</f>
        <v>0</v>
      </c>
      <c r="Q144" s="245">
        <f t="shared" si="20"/>
        <v>0</v>
      </c>
      <c r="R144" s="5">
        <f t="shared" si="23"/>
        <v>0</v>
      </c>
      <c r="S144" s="5">
        <f t="shared" si="21"/>
        <v>0</v>
      </c>
      <c r="T144" s="247">
        <f t="shared" si="22"/>
        <v>0</v>
      </c>
      <c r="U144" s="5">
        <f t="shared" si="24"/>
        <v>0</v>
      </c>
      <c r="V144" s="247">
        <f t="shared" si="25"/>
        <v>0</v>
      </c>
      <c r="W144" s="276">
        <f t="shared" si="26"/>
        <v>33.5</v>
      </c>
      <c r="X144" s="277">
        <f t="shared" si="19"/>
        <v>33.5</v>
      </c>
    </row>
    <row r="145" spans="14:24" x14ac:dyDescent="0.25">
      <c r="N145" s="244">
        <f>Weather_Site!B151</f>
        <v>0</v>
      </c>
      <c r="O145" s="245">
        <f>Weather_Site!C151</f>
        <v>0</v>
      </c>
      <c r="P145" s="5">
        <f>Weather_Site!E151</f>
        <v>0</v>
      </c>
      <c r="Q145" s="245">
        <f t="shared" si="20"/>
        <v>0</v>
      </c>
      <c r="R145" s="5">
        <f t="shared" si="23"/>
        <v>0</v>
      </c>
      <c r="S145" s="5">
        <f t="shared" si="21"/>
        <v>0</v>
      </c>
      <c r="T145" s="247">
        <f t="shared" si="22"/>
        <v>0</v>
      </c>
      <c r="U145" s="5">
        <f t="shared" si="24"/>
        <v>0</v>
      </c>
      <c r="V145" s="247">
        <f t="shared" si="25"/>
        <v>0</v>
      </c>
      <c r="W145" s="276">
        <f t="shared" si="26"/>
        <v>33.5</v>
      </c>
      <c r="X145" s="277">
        <f t="shared" si="19"/>
        <v>33.5</v>
      </c>
    </row>
    <row r="146" spans="14:24" x14ac:dyDescent="0.25">
      <c r="N146" s="244">
        <f>Weather_Site!B152</f>
        <v>0</v>
      </c>
      <c r="O146" s="245">
        <f>Weather_Site!C152</f>
        <v>0</v>
      </c>
      <c r="P146" s="5">
        <f>Weather_Site!E152</f>
        <v>0</v>
      </c>
      <c r="Q146" s="245">
        <f t="shared" si="20"/>
        <v>0</v>
      </c>
      <c r="R146" s="5">
        <f t="shared" si="23"/>
        <v>0</v>
      </c>
      <c r="S146" s="5">
        <f t="shared" si="21"/>
        <v>0</v>
      </c>
      <c r="T146" s="247">
        <f t="shared" si="22"/>
        <v>0</v>
      </c>
      <c r="U146" s="5">
        <f t="shared" si="24"/>
        <v>0</v>
      </c>
      <c r="V146" s="247">
        <f t="shared" si="25"/>
        <v>0</v>
      </c>
      <c r="W146" s="276">
        <f t="shared" si="26"/>
        <v>33.5</v>
      </c>
      <c r="X146" s="277">
        <f t="shared" si="19"/>
        <v>33.5</v>
      </c>
    </row>
    <row r="147" spans="14:24" x14ac:dyDescent="0.25">
      <c r="N147" s="244">
        <f>Weather_Site!B153</f>
        <v>0</v>
      </c>
      <c r="O147" s="245">
        <f>Weather_Site!C153</f>
        <v>0</v>
      </c>
      <c r="P147" s="5">
        <f>Weather_Site!E153</f>
        <v>0</v>
      </c>
      <c r="Q147" s="245">
        <f t="shared" si="20"/>
        <v>0</v>
      </c>
      <c r="R147" s="5">
        <f t="shared" si="23"/>
        <v>0</v>
      </c>
      <c r="S147" s="5">
        <f t="shared" si="21"/>
        <v>0</v>
      </c>
      <c r="T147" s="247">
        <f t="shared" si="22"/>
        <v>0</v>
      </c>
      <c r="U147" s="5">
        <f t="shared" si="24"/>
        <v>0</v>
      </c>
      <c r="V147" s="247">
        <f t="shared" si="25"/>
        <v>0</v>
      </c>
      <c r="W147" s="276">
        <f t="shared" si="26"/>
        <v>33.5</v>
      </c>
      <c r="X147" s="277">
        <f t="shared" si="19"/>
        <v>33.5</v>
      </c>
    </row>
    <row r="148" spans="14:24" x14ac:dyDescent="0.25">
      <c r="N148" s="244">
        <f>Weather_Site!B154</f>
        <v>0</v>
      </c>
      <c r="O148" s="245">
        <f>Weather_Site!C154</f>
        <v>0</v>
      </c>
      <c r="P148" s="5">
        <f>Weather_Site!E154</f>
        <v>0</v>
      </c>
      <c r="Q148" s="245">
        <f t="shared" si="20"/>
        <v>0</v>
      </c>
      <c r="R148" s="5">
        <f t="shared" si="23"/>
        <v>0</v>
      </c>
      <c r="S148" s="5">
        <f t="shared" si="21"/>
        <v>0</v>
      </c>
      <c r="T148" s="247">
        <f t="shared" si="22"/>
        <v>0</v>
      </c>
      <c r="U148" s="5">
        <f t="shared" si="24"/>
        <v>0</v>
      </c>
      <c r="V148" s="247">
        <f t="shared" si="25"/>
        <v>0</v>
      </c>
      <c r="W148" s="276">
        <f t="shared" si="26"/>
        <v>33.5</v>
      </c>
      <c r="X148" s="277">
        <f t="shared" si="19"/>
        <v>33.5</v>
      </c>
    </row>
    <row r="149" spans="14:24" x14ac:dyDescent="0.25">
      <c r="N149" s="244">
        <f>Weather_Site!B155</f>
        <v>0</v>
      </c>
      <c r="O149" s="245">
        <f>Weather_Site!C155</f>
        <v>0</v>
      </c>
      <c r="P149" s="5">
        <f>Weather_Site!E155</f>
        <v>0</v>
      </c>
      <c r="Q149" s="245">
        <f t="shared" si="20"/>
        <v>0</v>
      </c>
      <c r="R149" s="5">
        <f t="shared" si="23"/>
        <v>0</v>
      </c>
      <c r="S149" s="5">
        <f t="shared" si="21"/>
        <v>0</v>
      </c>
      <c r="T149" s="247">
        <f t="shared" si="22"/>
        <v>0</v>
      </c>
      <c r="U149" s="5">
        <f t="shared" si="24"/>
        <v>0</v>
      </c>
      <c r="V149" s="247">
        <f t="shared" si="25"/>
        <v>0</v>
      </c>
      <c r="W149" s="276">
        <f t="shared" si="26"/>
        <v>33.5</v>
      </c>
      <c r="X149" s="277">
        <f t="shared" si="19"/>
        <v>33.5</v>
      </c>
    </row>
    <row r="150" spans="14:24" x14ac:dyDescent="0.25">
      <c r="N150" s="244">
        <f>Weather_Site!B156</f>
        <v>0</v>
      </c>
      <c r="O150" s="245">
        <f>Weather_Site!C156</f>
        <v>0</v>
      </c>
      <c r="P150" s="5">
        <f>Weather_Site!E156</f>
        <v>0</v>
      </c>
      <c r="Q150" s="245">
        <f t="shared" si="20"/>
        <v>0</v>
      </c>
      <c r="R150" s="5">
        <f t="shared" si="23"/>
        <v>0</v>
      </c>
      <c r="S150" s="5">
        <f t="shared" si="21"/>
        <v>0</v>
      </c>
      <c r="T150" s="247">
        <f t="shared" si="22"/>
        <v>0</v>
      </c>
      <c r="U150" s="5">
        <f t="shared" si="24"/>
        <v>0</v>
      </c>
      <c r="V150" s="247">
        <f t="shared" si="25"/>
        <v>0</v>
      </c>
      <c r="W150" s="276">
        <f t="shared" si="26"/>
        <v>33.5</v>
      </c>
      <c r="X150" s="277">
        <f t="shared" si="19"/>
        <v>33.5</v>
      </c>
    </row>
    <row r="151" spans="14:24" x14ac:dyDescent="0.25">
      <c r="N151" s="244">
        <f>Weather_Site!B157</f>
        <v>0</v>
      </c>
      <c r="O151" s="245">
        <f>Weather_Site!C157</f>
        <v>0</v>
      </c>
      <c r="P151" s="5">
        <f>Weather_Site!E157</f>
        <v>0</v>
      </c>
      <c r="Q151" s="245">
        <f t="shared" si="20"/>
        <v>0</v>
      </c>
      <c r="R151" s="5">
        <f t="shared" si="23"/>
        <v>0</v>
      </c>
      <c r="S151" s="5">
        <f t="shared" si="21"/>
        <v>0</v>
      </c>
      <c r="T151" s="247">
        <f t="shared" si="22"/>
        <v>0</v>
      </c>
      <c r="U151" s="5">
        <f t="shared" si="24"/>
        <v>0</v>
      </c>
      <c r="V151" s="247">
        <f t="shared" si="25"/>
        <v>0</v>
      </c>
      <c r="W151" s="276">
        <f t="shared" si="26"/>
        <v>33.5</v>
      </c>
      <c r="X151" s="277">
        <f t="shared" si="19"/>
        <v>33.5</v>
      </c>
    </row>
    <row r="152" spans="14:24" x14ac:dyDescent="0.25">
      <c r="N152" s="244">
        <f>Weather_Site!B158</f>
        <v>0</v>
      </c>
      <c r="O152" s="245">
        <f>Weather_Site!C158</f>
        <v>0</v>
      </c>
      <c r="P152" s="5">
        <f>Weather_Site!E158</f>
        <v>0</v>
      </c>
      <c r="Q152" s="245">
        <f t="shared" si="20"/>
        <v>0</v>
      </c>
      <c r="R152" s="5">
        <f t="shared" si="23"/>
        <v>0</v>
      </c>
      <c r="S152" s="5">
        <f t="shared" si="21"/>
        <v>0</v>
      </c>
      <c r="T152" s="247">
        <f t="shared" si="22"/>
        <v>0</v>
      </c>
      <c r="U152" s="5">
        <f t="shared" si="24"/>
        <v>0</v>
      </c>
      <c r="V152" s="247">
        <f t="shared" si="25"/>
        <v>0</v>
      </c>
      <c r="W152" s="276">
        <f t="shared" si="26"/>
        <v>33.5</v>
      </c>
      <c r="X152" s="277">
        <f t="shared" si="19"/>
        <v>33.5</v>
      </c>
    </row>
    <row r="153" spans="14:24" x14ac:dyDescent="0.25">
      <c r="N153" s="244">
        <f>Weather_Site!B159</f>
        <v>0</v>
      </c>
      <c r="O153" s="245">
        <f>Weather_Site!C159</f>
        <v>0</v>
      </c>
      <c r="P153" s="5">
        <f>Weather_Site!E159</f>
        <v>0</v>
      </c>
      <c r="Q153" s="245">
        <f t="shared" si="20"/>
        <v>0</v>
      </c>
      <c r="R153" s="5">
        <f t="shared" si="23"/>
        <v>0</v>
      </c>
      <c r="S153" s="5">
        <f t="shared" si="21"/>
        <v>0</v>
      </c>
      <c r="T153" s="247">
        <f t="shared" si="22"/>
        <v>0</v>
      </c>
      <c r="U153" s="5">
        <f t="shared" si="24"/>
        <v>0</v>
      </c>
      <c r="V153" s="247">
        <f t="shared" si="25"/>
        <v>0</v>
      </c>
      <c r="W153" s="276">
        <f t="shared" si="26"/>
        <v>33.5</v>
      </c>
      <c r="X153" s="277">
        <f t="shared" si="19"/>
        <v>33.5</v>
      </c>
    </row>
    <row r="154" spans="14:24" x14ac:dyDescent="0.25">
      <c r="N154" s="244">
        <f>Weather_Site!B160</f>
        <v>0</v>
      </c>
      <c r="O154" s="245">
        <f>Weather_Site!C160</f>
        <v>0</v>
      </c>
      <c r="P154" s="5">
        <f>Weather_Site!E160</f>
        <v>0</v>
      </c>
      <c r="Q154" s="245">
        <f t="shared" si="20"/>
        <v>0</v>
      </c>
      <c r="R154" s="5">
        <f t="shared" si="23"/>
        <v>0</v>
      </c>
      <c r="S154" s="5">
        <f t="shared" si="21"/>
        <v>0</v>
      </c>
      <c r="T154" s="247">
        <f t="shared" si="22"/>
        <v>0</v>
      </c>
      <c r="U154" s="5">
        <f t="shared" si="24"/>
        <v>0</v>
      </c>
      <c r="V154" s="247">
        <f t="shared" si="25"/>
        <v>0</v>
      </c>
      <c r="W154" s="276">
        <f t="shared" si="26"/>
        <v>33.5</v>
      </c>
      <c r="X154" s="277">
        <f t="shared" si="19"/>
        <v>33.5</v>
      </c>
    </row>
    <row r="155" spans="14:24" x14ac:dyDescent="0.25">
      <c r="N155" s="244">
        <f>Weather_Site!B161</f>
        <v>0</v>
      </c>
      <c r="O155" s="245">
        <f>Weather_Site!C161</f>
        <v>0</v>
      </c>
      <c r="P155" s="5">
        <f>Weather_Site!E161</f>
        <v>0</v>
      </c>
      <c r="Q155" s="245">
        <f t="shared" si="20"/>
        <v>0</v>
      </c>
      <c r="R155" s="5">
        <f t="shared" si="23"/>
        <v>0</v>
      </c>
      <c r="S155" s="5">
        <f t="shared" si="21"/>
        <v>0</v>
      </c>
      <c r="T155" s="247">
        <f t="shared" si="22"/>
        <v>0</v>
      </c>
      <c r="U155" s="5">
        <f t="shared" si="24"/>
        <v>0</v>
      </c>
      <c r="V155" s="247">
        <f t="shared" si="25"/>
        <v>0</v>
      </c>
      <c r="W155" s="276">
        <f t="shared" si="26"/>
        <v>33.5</v>
      </c>
      <c r="X155" s="277">
        <f t="shared" si="19"/>
        <v>33.5</v>
      </c>
    </row>
    <row r="156" spans="14:24" x14ac:dyDescent="0.25">
      <c r="N156" s="244">
        <f>Weather_Site!B162</f>
        <v>0</v>
      </c>
      <c r="O156" s="245">
        <f>Weather_Site!C162</f>
        <v>0</v>
      </c>
      <c r="P156" s="5">
        <f>Weather_Site!E162</f>
        <v>0</v>
      </c>
      <c r="Q156" s="245">
        <f t="shared" si="20"/>
        <v>0</v>
      </c>
      <c r="R156" s="5">
        <f t="shared" si="23"/>
        <v>0</v>
      </c>
      <c r="S156" s="5">
        <f t="shared" si="21"/>
        <v>0</v>
      </c>
      <c r="T156" s="247">
        <f t="shared" si="22"/>
        <v>0</v>
      </c>
      <c r="U156" s="5">
        <f t="shared" si="24"/>
        <v>0</v>
      </c>
      <c r="V156" s="247">
        <f t="shared" si="25"/>
        <v>0</v>
      </c>
      <c r="W156" s="276">
        <f t="shared" si="26"/>
        <v>33.5</v>
      </c>
      <c r="X156" s="277">
        <f t="shared" si="19"/>
        <v>33.5</v>
      </c>
    </row>
    <row r="157" spans="14:24" x14ac:dyDescent="0.25">
      <c r="N157" s="244">
        <f>Weather_Site!B163</f>
        <v>0</v>
      </c>
      <c r="O157" s="245">
        <f>Weather_Site!C163</f>
        <v>0</v>
      </c>
      <c r="P157" s="5">
        <f>Weather_Site!E163</f>
        <v>0</v>
      </c>
      <c r="Q157" s="245">
        <f t="shared" si="20"/>
        <v>0</v>
      </c>
      <c r="R157" s="5">
        <f t="shared" si="23"/>
        <v>0</v>
      </c>
      <c r="S157" s="5">
        <f t="shared" si="21"/>
        <v>0</v>
      </c>
      <c r="T157" s="247">
        <f t="shared" si="22"/>
        <v>0</v>
      </c>
      <c r="U157" s="5">
        <f t="shared" si="24"/>
        <v>0</v>
      </c>
      <c r="V157" s="247">
        <f t="shared" si="25"/>
        <v>0</v>
      </c>
      <c r="W157" s="276">
        <f t="shared" si="26"/>
        <v>33.5</v>
      </c>
      <c r="X157" s="277">
        <f t="shared" si="19"/>
        <v>33.5</v>
      </c>
    </row>
    <row r="158" spans="14:24" x14ac:dyDescent="0.25">
      <c r="N158" s="244">
        <f>Weather_Site!B164</f>
        <v>0</v>
      </c>
      <c r="O158" s="245">
        <f>Weather_Site!C164</f>
        <v>0</v>
      </c>
      <c r="P158" s="5">
        <f>Weather_Site!E164</f>
        <v>0</v>
      </c>
      <c r="Q158" s="245">
        <f t="shared" si="20"/>
        <v>0</v>
      </c>
      <c r="R158" s="5">
        <f t="shared" si="23"/>
        <v>0</v>
      </c>
      <c r="S158" s="5">
        <f t="shared" si="21"/>
        <v>0</v>
      </c>
      <c r="T158" s="247">
        <f t="shared" si="22"/>
        <v>0</v>
      </c>
      <c r="U158" s="5">
        <f t="shared" si="24"/>
        <v>0</v>
      </c>
      <c r="V158" s="247">
        <f t="shared" si="25"/>
        <v>0</v>
      </c>
      <c r="W158" s="276">
        <f t="shared" si="26"/>
        <v>33.5</v>
      </c>
      <c r="X158" s="277">
        <f t="shared" si="19"/>
        <v>33.5</v>
      </c>
    </row>
    <row r="159" spans="14:24" x14ac:dyDescent="0.25">
      <c r="N159" s="244">
        <f>Weather_Site!B165</f>
        <v>0</v>
      </c>
      <c r="O159" s="245">
        <f>Weather_Site!C165</f>
        <v>0</v>
      </c>
      <c r="P159" s="5">
        <f>Weather_Site!E165</f>
        <v>0</v>
      </c>
      <c r="Q159" s="245">
        <f t="shared" si="20"/>
        <v>0</v>
      </c>
      <c r="R159" s="5">
        <f t="shared" si="23"/>
        <v>0</v>
      </c>
      <c r="S159" s="5">
        <f t="shared" si="21"/>
        <v>0</v>
      </c>
      <c r="T159" s="247">
        <f t="shared" si="22"/>
        <v>0</v>
      </c>
      <c r="U159" s="5">
        <f t="shared" si="24"/>
        <v>0</v>
      </c>
      <c r="V159" s="247">
        <f t="shared" si="25"/>
        <v>0</v>
      </c>
      <c r="W159" s="276">
        <f t="shared" si="26"/>
        <v>33.5</v>
      </c>
      <c r="X159" s="277">
        <f t="shared" si="19"/>
        <v>33.5</v>
      </c>
    </row>
    <row r="160" spans="14:24" x14ac:dyDescent="0.25">
      <c r="N160" s="244">
        <f>Weather_Site!B166</f>
        <v>0</v>
      </c>
      <c r="O160" s="245">
        <f>Weather_Site!C166</f>
        <v>0</v>
      </c>
      <c r="P160" s="5">
        <f>Weather_Site!E166</f>
        <v>0</v>
      </c>
      <c r="Q160" s="245">
        <f t="shared" si="20"/>
        <v>0</v>
      </c>
      <c r="R160" s="5">
        <f t="shared" si="23"/>
        <v>0</v>
      </c>
      <c r="S160" s="5">
        <f t="shared" si="21"/>
        <v>0</v>
      </c>
      <c r="T160" s="247">
        <f t="shared" si="22"/>
        <v>0</v>
      </c>
      <c r="U160" s="5">
        <f t="shared" si="24"/>
        <v>0</v>
      </c>
      <c r="V160" s="247">
        <f t="shared" si="25"/>
        <v>0</v>
      </c>
      <c r="W160" s="276">
        <f t="shared" si="26"/>
        <v>33.5</v>
      </c>
      <c r="X160" s="277">
        <f t="shared" si="19"/>
        <v>33.5</v>
      </c>
    </row>
    <row r="161" spans="14:24" x14ac:dyDescent="0.25">
      <c r="N161" s="244">
        <f>Weather_Site!B167</f>
        <v>0</v>
      </c>
      <c r="O161" s="245">
        <f>Weather_Site!C167</f>
        <v>0</v>
      </c>
      <c r="P161" s="5">
        <f>Weather_Site!E167</f>
        <v>0</v>
      </c>
      <c r="Q161" s="245">
        <f t="shared" si="20"/>
        <v>0</v>
      </c>
      <c r="R161" s="5">
        <f t="shared" si="23"/>
        <v>0</v>
      </c>
      <c r="S161" s="5">
        <f t="shared" si="21"/>
        <v>0</v>
      </c>
      <c r="T161" s="247">
        <f t="shared" si="22"/>
        <v>0</v>
      </c>
      <c r="U161" s="5">
        <f t="shared" si="24"/>
        <v>0</v>
      </c>
      <c r="V161" s="247">
        <f t="shared" si="25"/>
        <v>0</v>
      </c>
      <c r="W161" s="276">
        <f t="shared" si="26"/>
        <v>33.5</v>
      </c>
      <c r="X161" s="277">
        <f t="shared" si="19"/>
        <v>33.5</v>
      </c>
    </row>
    <row r="162" spans="14:24" x14ac:dyDescent="0.25">
      <c r="N162" s="244">
        <f>Weather_Site!B168</f>
        <v>0</v>
      </c>
      <c r="O162" s="245">
        <f>Weather_Site!C168</f>
        <v>0</v>
      </c>
      <c r="P162" s="5">
        <f>Weather_Site!E168</f>
        <v>0</v>
      </c>
      <c r="Q162" s="245">
        <f t="shared" si="20"/>
        <v>0</v>
      </c>
      <c r="R162" s="5">
        <f t="shared" si="23"/>
        <v>0</v>
      </c>
      <c r="S162" s="5">
        <f t="shared" si="21"/>
        <v>0</v>
      </c>
      <c r="T162" s="247">
        <f t="shared" si="22"/>
        <v>0</v>
      </c>
      <c r="U162" s="5">
        <f t="shared" si="24"/>
        <v>0</v>
      </c>
      <c r="V162" s="247">
        <f t="shared" si="25"/>
        <v>0</v>
      </c>
      <c r="W162" s="276">
        <f t="shared" si="26"/>
        <v>33.5</v>
      </c>
      <c r="X162" s="277">
        <f t="shared" si="19"/>
        <v>33.5</v>
      </c>
    </row>
    <row r="163" spans="14:24" x14ac:dyDescent="0.25">
      <c r="N163" s="244">
        <f>Weather_Site!B169</f>
        <v>0</v>
      </c>
      <c r="O163" s="245">
        <f>Weather_Site!C169</f>
        <v>0</v>
      </c>
      <c r="P163" s="5">
        <f>Weather_Site!E169</f>
        <v>0</v>
      </c>
      <c r="Q163" s="245">
        <f t="shared" si="20"/>
        <v>0</v>
      </c>
      <c r="R163" s="5">
        <f t="shared" si="23"/>
        <v>0</v>
      </c>
      <c r="S163" s="5">
        <f t="shared" si="21"/>
        <v>0</v>
      </c>
      <c r="T163" s="247">
        <f t="shared" si="22"/>
        <v>0</v>
      </c>
      <c r="U163" s="5">
        <f t="shared" si="24"/>
        <v>0</v>
      </c>
      <c r="V163" s="247">
        <f t="shared" si="25"/>
        <v>0</v>
      </c>
      <c r="W163" s="276">
        <f t="shared" si="26"/>
        <v>33.5</v>
      </c>
      <c r="X163" s="277">
        <f t="shared" si="19"/>
        <v>33.5</v>
      </c>
    </row>
    <row r="164" spans="14:24" x14ac:dyDescent="0.25">
      <c r="N164" s="244">
        <f>Weather_Site!B170</f>
        <v>0</v>
      </c>
      <c r="O164" s="245">
        <f>Weather_Site!C170</f>
        <v>0</v>
      </c>
      <c r="P164" s="5">
        <f>Weather_Site!E170</f>
        <v>0</v>
      </c>
      <c r="Q164" s="245">
        <f t="shared" si="20"/>
        <v>0</v>
      </c>
      <c r="R164" s="5">
        <f t="shared" si="23"/>
        <v>0</v>
      </c>
      <c r="S164" s="5">
        <f t="shared" si="21"/>
        <v>0</v>
      </c>
      <c r="T164" s="247">
        <f t="shared" si="22"/>
        <v>0</v>
      </c>
      <c r="U164" s="5">
        <f t="shared" si="24"/>
        <v>0</v>
      </c>
      <c r="V164" s="247">
        <f t="shared" si="25"/>
        <v>0</v>
      </c>
      <c r="W164" s="276">
        <f t="shared" si="26"/>
        <v>33.5</v>
      </c>
      <c r="X164" s="277">
        <f t="shared" ref="X164:X227" si="27">IF(AND(O163&lt;0.333,O164&gt;=0.333),W164,X163)</f>
        <v>33.5</v>
      </c>
    </row>
    <row r="165" spans="14:24" x14ac:dyDescent="0.25">
      <c r="N165" s="244">
        <f>Weather_Site!B171</f>
        <v>0</v>
      </c>
      <c r="O165" s="245">
        <f>Weather_Site!C171</f>
        <v>0</v>
      </c>
      <c r="P165" s="5">
        <f>Weather_Site!E171</f>
        <v>0</v>
      </c>
      <c r="Q165" s="245">
        <f t="shared" ref="Q165:Q228" si="28">IF((O165-O164)&lt;0,(1-MAX(O164,0.625))+MIN(O165,0.334),(IF(O164&lt;0.333,(MIN(O165,0.334)-O164),IF(O165&gt;0.625,MAX(O165,0.625)-O164,0))))</f>
        <v>0</v>
      </c>
      <c r="R165" s="5">
        <f t="shared" si="23"/>
        <v>0</v>
      </c>
      <c r="S165" s="5">
        <f t="shared" ref="S165:S228" si="29">HOUR(O165)</f>
        <v>0</v>
      </c>
      <c r="T165" s="247">
        <f t="shared" ref="T165:T228" si="30">(P165+P164)/2*R165</f>
        <v>0</v>
      </c>
      <c r="U165" s="5">
        <f t="shared" si="24"/>
        <v>0</v>
      </c>
      <c r="V165" s="247">
        <f t="shared" si="25"/>
        <v>0</v>
      </c>
      <c r="W165" s="276">
        <f t="shared" si="26"/>
        <v>33.5</v>
      </c>
      <c r="X165" s="277">
        <f t="shared" si="27"/>
        <v>33.5</v>
      </c>
    </row>
    <row r="166" spans="14:24" x14ac:dyDescent="0.25">
      <c r="N166" s="244">
        <f>Weather_Site!B172</f>
        <v>0</v>
      </c>
      <c r="O166" s="245">
        <f>Weather_Site!C172</f>
        <v>0</v>
      </c>
      <c r="P166" s="5">
        <f>Weather_Site!E172</f>
        <v>0</v>
      </c>
      <c r="Q166" s="245">
        <f t="shared" si="28"/>
        <v>0</v>
      </c>
      <c r="R166" s="5">
        <f t="shared" si="23"/>
        <v>0</v>
      </c>
      <c r="S166" s="5">
        <f t="shared" si="29"/>
        <v>0</v>
      </c>
      <c r="T166" s="247">
        <f t="shared" si="30"/>
        <v>0</v>
      </c>
      <c r="U166" s="5">
        <f t="shared" si="24"/>
        <v>0</v>
      </c>
      <c r="V166" s="247">
        <f t="shared" si="25"/>
        <v>0</v>
      </c>
      <c r="W166" s="276">
        <f t="shared" si="26"/>
        <v>33.5</v>
      </c>
      <c r="X166" s="277">
        <f t="shared" si="27"/>
        <v>33.5</v>
      </c>
    </row>
    <row r="167" spans="14:24" x14ac:dyDescent="0.25">
      <c r="N167" s="244">
        <f>Weather_Site!B173</f>
        <v>0</v>
      </c>
      <c r="O167" s="245">
        <f>Weather_Site!C173</f>
        <v>0</v>
      </c>
      <c r="P167" s="5">
        <f>Weather_Site!E173</f>
        <v>0</v>
      </c>
      <c r="Q167" s="245">
        <f t="shared" si="28"/>
        <v>0</v>
      </c>
      <c r="R167" s="5">
        <f t="shared" si="23"/>
        <v>0</v>
      </c>
      <c r="S167" s="5">
        <f t="shared" si="29"/>
        <v>0</v>
      </c>
      <c r="T167" s="247">
        <f t="shared" si="30"/>
        <v>0</v>
      </c>
      <c r="U167" s="5">
        <f t="shared" si="24"/>
        <v>0</v>
      </c>
      <c r="V167" s="247">
        <f t="shared" si="25"/>
        <v>0</v>
      </c>
      <c r="W167" s="276">
        <f t="shared" si="26"/>
        <v>33.5</v>
      </c>
      <c r="X167" s="277">
        <f t="shared" si="27"/>
        <v>33.5</v>
      </c>
    </row>
    <row r="168" spans="14:24" x14ac:dyDescent="0.25">
      <c r="N168" s="244">
        <f>Weather_Site!B174</f>
        <v>0</v>
      </c>
      <c r="O168" s="245">
        <f>Weather_Site!C174</f>
        <v>0</v>
      </c>
      <c r="P168" s="5">
        <f>Weather_Site!E174</f>
        <v>0</v>
      </c>
      <c r="Q168" s="245">
        <f t="shared" si="28"/>
        <v>0</v>
      </c>
      <c r="R168" s="5">
        <f t="shared" si="23"/>
        <v>0</v>
      </c>
      <c r="S168" s="5">
        <f t="shared" si="29"/>
        <v>0</v>
      </c>
      <c r="T168" s="247">
        <f t="shared" si="30"/>
        <v>0</v>
      </c>
      <c r="U168" s="5">
        <f t="shared" si="24"/>
        <v>0</v>
      </c>
      <c r="V168" s="247">
        <f t="shared" si="25"/>
        <v>0</v>
      </c>
      <c r="W168" s="276">
        <f t="shared" si="26"/>
        <v>33.5</v>
      </c>
      <c r="X168" s="277">
        <f t="shared" si="27"/>
        <v>33.5</v>
      </c>
    </row>
    <row r="169" spans="14:24" x14ac:dyDescent="0.25">
      <c r="N169" s="244">
        <f>Weather_Site!B175</f>
        <v>0</v>
      </c>
      <c r="O169" s="245">
        <f>Weather_Site!C175</f>
        <v>0</v>
      </c>
      <c r="P169" s="5">
        <f>Weather_Site!E175</f>
        <v>0</v>
      </c>
      <c r="Q169" s="245">
        <f t="shared" si="28"/>
        <v>0</v>
      </c>
      <c r="R169" s="5">
        <f t="shared" si="23"/>
        <v>0</v>
      </c>
      <c r="S169" s="5">
        <f t="shared" si="29"/>
        <v>0</v>
      </c>
      <c r="T169" s="247">
        <f t="shared" si="30"/>
        <v>0</v>
      </c>
      <c r="U169" s="5">
        <f t="shared" si="24"/>
        <v>0</v>
      </c>
      <c r="V169" s="247">
        <f t="shared" si="25"/>
        <v>0</v>
      </c>
      <c r="W169" s="276">
        <f t="shared" si="26"/>
        <v>33.5</v>
      </c>
      <c r="X169" s="277">
        <f t="shared" si="27"/>
        <v>33.5</v>
      </c>
    </row>
    <row r="170" spans="14:24" x14ac:dyDescent="0.25">
      <c r="N170" s="244">
        <f>Weather_Site!B176</f>
        <v>0</v>
      </c>
      <c r="O170" s="245">
        <f>Weather_Site!C176</f>
        <v>0</v>
      </c>
      <c r="P170" s="5">
        <f>Weather_Site!E176</f>
        <v>0</v>
      </c>
      <c r="Q170" s="245">
        <f t="shared" si="28"/>
        <v>0</v>
      </c>
      <c r="R170" s="5">
        <f t="shared" si="23"/>
        <v>0</v>
      </c>
      <c r="S170" s="5">
        <f t="shared" si="29"/>
        <v>0</v>
      </c>
      <c r="T170" s="247">
        <f t="shared" si="30"/>
        <v>0</v>
      </c>
      <c r="U170" s="5">
        <f t="shared" si="24"/>
        <v>0</v>
      </c>
      <c r="V170" s="247">
        <f t="shared" si="25"/>
        <v>0</v>
      </c>
      <c r="W170" s="276">
        <f t="shared" si="26"/>
        <v>33.5</v>
      </c>
      <c r="X170" s="277">
        <f t="shared" si="27"/>
        <v>33.5</v>
      </c>
    </row>
    <row r="171" spans="14:24" x14ac:dyDescent="0.25">
      <c r="N171" s="244">
        <f>Weather_Site!B177</f>
        <v>0</v>
      </c>
      <c r="O171" s="245">
        <f>Weather_Site!C177</f>
        <v>0</v>
      </c>
      <c r="P171" s="5">
        <f>Weather_Site!E177</f>
        <v>0</v>
      </c>
      <c r="Q171" s="245">
        <f t="shared" si="28"/>
        <v>0</v>
      </c>
      <c r="R171" s="5">
        <f t="shared" si="23"/>
        <v>0</v>
      </c>
      <c r="S171" s="5">
        <f t="shared" si="29"/>
        <v>0</v>
      </c>
      <c r="T171" s="247">
        <f t="shared" si="30"/>
        <v>0</v>
      </c>
      <c r="U171" s="5">
        <f t="shared" si="24"/>
        <v>0</v>
      </c>
      <c r="V171" s="247">
        <f t="shared" si="25"/>
        <v>0</v>
      </c>
      <c r="W171" s="276">
        <f t="shared" si="26"/>
        <v>33.5</v>
      </c>
      <c r="X171" s="277">
        <f t="shared" si="27"/>
        <v>33.5</v>
      </c>
    </row>
    <row r="172" spans="14:24" x14ac:dyDescent="0.25">
      <c r="N172" s="244">
        <f>Weather_Site!B178</f>
        <v>0</v>
      </c>
      <c r="O172" s="245">
        <f>Weather_Site!C178</f>
        <v>0</v>
      </c>
      <c r="P172" s="5">
        <f>Weather_Site!E178</f>
        <v>0</v>
      </c>
      <c r="Q172" s="245">
        <f t="shared" si="28"/>
        <v>0</v>
      </c>
      <c r="R172" s="5">
        <f t="shared" si="23"/>
        <v>0</v>
      </c>
      <c r="S172" s="5">
        <f t="shared" si="29"/>
        <v>0</v>
      </c>
      <c r="T172" s="247">
        <f t="shared" si="30"/>
        <v>0</v>
      </c>
      <c r="U172" s="5">
        <f t="shared" si="24"/>
        <v>0</v>
      </c>
      <c r="V172" s="247">
        <f t="shared" si="25"/>
        <v>0</v>
      </c>
      <c r="W172" s="276">
        <f t="shared" si="26"/>
        <v>33.5</v>
      </c>
      <c r="X172" s="277">
        <f t="shared" si="27"/>
        <v>33.5</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33.5</v>
      </c>
      <c r="X173" s="277">
        <f t="shared" si="27"/>
        <v>33.5</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33.5</v>
      </c>
      <c r="X174" s="277">
        <f t="shared" si="27"/>
        <v>33.5</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33.5</v>
      </c>
      <c r="X175" s="277">
        <f t="shared" si="27"/>
        <v>33.5</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33.5</v>
      </c>
      <c r="X176" s="277">
        <f t="shared" si="27"/>
        <v>33.5</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33.5</v>
      </c>
      <c r="X177" s="277">
        <f t="shared" si="27"/>
        <v>33.5</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33.5</v>
      </c>
      <c r="X178" s="277">
        <f t="shared" si="27"/>
        <v>33.5</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33.5</v>
      </c>
      <c r="X179" s="277">
        <f t="shared" si="27"/>
        <v>33.5</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33.5</v>
      </c>
      <c r="X180" s="277">
        <f t="shared" si="27"/>
        <v>33.5</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33.5</v>
      </c>
      <c r="X181" s="277">
        <f t="shared" si="27"/>
        <v>33.5</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33.5</v>
      </c>
      <c r="X182" s="277">
        <f t="shared" si="27"/>
        <v>33.5</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33.5</v>
      </c>
      <c r="X183" s="277">
        <f t="shared" si="27"/>
        <v>33.5</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33.5</v>
      </c>
      <c r="X184" s="277">
        <f t="shared" si="27"/>
        <v>33.5</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33.5</v>
      </c>
      <c r="X185" s="277">
        <f t="shared" si="27"/>
        <v>33.5</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33.5</v>
      </c>
      <c r="X186" s="277">
        <f t="shared" si="27"/>
        <v>33.5</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33.5</v>
      </c>
      <c r="X187" s="277">
        <f t="shared" si="27"/>
        <v>33.5</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33.5</v>
      </c>
      <c r="X188" s="277">
        <f t="shared" si="27"/>
        <v>33.5</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33.5</v>
      </c>
      <c r="X189" s="277">
        <f t="shared" si="27"/>
        <v>33.5</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33.5</v>
      </c>
      <c r="X190" s="277">
        <f t="shared" si="27"/>
        <v>33.5</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33.5</v>
      </c>
      <c r="X191" s="277">
        <f t="shared" si="27"/>
        <v>33.5</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33.5</v>
      </c>
      <c r="X192" s="277">
        <f t="shared" si="27"/>
        <v>33.5</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33.5</v>
      </c>
      <c r="X193" s="277">
        <f t="shared" si="27"/>
        <v>33.5</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33.5</v>
      </c>
      <c r="X194" s="277">
        <f t="shared" si="27"/>
        <v>33.5</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33.5</v>
      </c>
      <c r="X195" s="277">
        <f t="shared" si="27"/>
        <v>33.5</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33.5</v>
      </c>
      <c r="X196" s="277">
        <f t="shared" si="27"/>
        <v>33.5</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33.5</v>
      </c>
      <c r="X197" s="277">
        <f t="shared" si="27"/>
        <v>33.5</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33.5</v>
      </c>
      <c r="X198" s="277">
        <f t="shared" si="27"/>
        <v>33.5</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33.5</v>
      </c>
      <c r="X199" s="277">
        <f t="shared" si="27"/>
        <v>33.5</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33.5</v>
      </c>
      <c r="X200" s="277">
        <f t="shared" si="27"/>
        <v>33.5</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33.5</v>
      </c>
      <c r="X201" s="277">
        <f t="shared" si="27"/>
        <v>33.5</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33.5</v>
      </c>
      <c r="X202" s="277">
        <f t="shared" si="27"/>
        <v>33.5</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33.5</v>
      </c>
      <c r="X203" s="277">
        <f t="shared" si="27"/>
        <v>33.5</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33.5</v>
      </c>
      <c r="X204" s="277">
        <f t="shared" si="27"/>
        <v>33.5</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33.5</v>
      </c>
      <c r="X205" s="277">
        <f t="shared" si="27"/>
        <v>33.5</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33.5</v>
      </c>
      <c r="X206" s="277">
        <f t="shared" si="27"/>
        <v>33.5</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33.5</v>
      </c>
      <c r="X207" s="277">
        <f t="shared" si="27"/>
        <v>33.5</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33.5</v>
      </c>
      <c r="X208" s="277">
        <f t="shared" si="27"/>
        <v>33.5</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33.5</v>
      </c>
      <c r="X209" s="277">
        <f t="shared" si="27"/>
        <v>33.5</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33.5</v>
      </c>
      <c r="X210" s="277">
        <f t="shared" si="27"/>
        <v>33.5</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33.5</v>
      </c>
      <c r="X211" s="277">
        <f t="shared" si="27"/>
        <v>33.5</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33.5</v>
      </c>
      <c r="X212" s="277">
        <f t="shared" si="27"/>
        <v>33.5</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33.5</v>
      </c>
      <c r="X213" s="277">
        <f t="shared" si="27"/>
        <v>33.5</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33.5</v>
      </c>
      <c r="X214" s="277">
        <f t="shared" si="27"/>
        <v>33.5</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33.5</v>
      </c>
      <c r="X215" s="277">
        <f t="shared" si="27"/>
        <v>33.5</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33.5</v>
      </c>
      <c r="X216" s="277">
        <f t="shared" si="27"/>
        <v>33.5</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33.5</v>
      </c>
      <c r="X217" s="277">
        <f t="shared" si="27"/>
        <v>33.5</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33.5</v>
      </c>
      <c r="X218" s="277">
        <f t="shared" si="27"/>
        <v>33.5</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33.5</v>
      </c>
      <c r="X219" s="277">
        <f t="shared" si="27"/>
        <v>33.5</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33.5</v>
      </c>
      <c r="X220" s="277">
        <f t="shared" si="27"/>
        <v>33.5</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33.5</v>
      </c>
      <c r="X221" s="277">
        <f t="shared" si="27"/>
        <v>33.5</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33.5</v>
      </c>
      <c r="X222" s="277">
        <f t="shared" si="27"/>
        <v>33.5</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33.5</v>
      </c>
      <c r="X223" s="277">
        <f t="shared" si="27"/>
        <v>33.5</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33.5</v>
      </c>
      <c r="X224" s="277">
        <f t="shared" si="27"/>
        <v>33.5</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33.5</v>
      </c>
      <c r="X225" s="277">
        <f t="shared" si="27"/>
        <v>33.5</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33.5</v>
      </c>
      <c r="X226" s="277">
        <f t="shared" si="27"/>
        <v>33.5</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33.5</v>
      </c>
      <c r="X227" s="277">
        <f t="shared" si="27"/>
        <v>33.5</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33.5</v>
      </c>
      <c r="X228" s="277">
        <f t="shared" ref="X228:X291" si="35">IF(AND(O227&lt;0.333,O228&gt;=0.333),W228,X227)</f>
        <v>33.5</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33.5</v>
      </c>
      <c r="X229" s="277">
        <f t="shared" si="35"/>
        <v>33.5</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33.5</v>
      </c>
      <c r="X230" s="277">
        <f t="shared" si="35"/>
        <v>33.5</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33.5</v>
      </c>
      <c r="X231" s="277">
        <f t="shared" si="35"/>
        <v>33.5</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33.5</v>
      </c>
      <c r="X232" s="277">
        <f t="shared" si="35"/>
        <v>33.5</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33.5</v>
      </c>
      <c r="X233" s="277">
        <f t="shared" si="35"/>
        <v>33.5</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33.5</v>
      </c>
      <c r="X234" s="277">
        <f t="shared" si="35"/>
        <v>33.5</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33.5</v>
      </c>
      <c r="X235" s="277">
        <f t="shared" si="35"/>
        <v>33.5</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33.5</v>
      </c>
      <c r="X236" s="277">
        <f t="shared" si="35"/>
        <v>33.5</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33.5</v>
      </c>
      <c r="X237" s="277">
        <f t="shared" si="35"/>
        <v>33.5</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33.5</v>
      </c>
      <c r="X238" s="277">
        <f t="shared" si="35"/>
        <v>33.5</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33.5</v>
      </c>
      <c r="X239" s="277">
        <f t="shared" si="35"/>
        <v>33.5</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33.5</v>
      </c>
      <c r="X240" s="277">
        <f t="shared" si="35"/>
        <v>33.5</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33.5</v>
      </c>
      <c r="X241" s="277">
        <f t="shared" si="35"/>
        <v>33.5</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33.5</v>
      </c>
      <c r="X242" s="277">
        <f t="shared" si="35"/>
        <v>33.5</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33.5</v>
      </c>
      <c r="X243" s="277">
        <f t="shared" si="35"/>
        <v>33.5</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33.5</v>
      </c>
      <c r="X244" s="277">
        <f t="shared" si="35"/>
        <v>33.5</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33.5</v>
      </c>
      <c r="X245" s="277">
        <f t="shared" si="35"/>
        <v>33.5</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33.5</v>
      </c>
      <c r="X246" s="277">
        <f t="shared" si="35"/>
        <v>33.5</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33.5</v>
      </c>
      <c r="X247" s="277">
        <f t="shared" si="35"/>
        <v>33.5</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33.5</v>
      </c>
      <c r="X248" s="277">
        <f t="shared" si="35"/>
        <v>33.5</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33.5</v>
      </c>
      <c r="X249" s="277">
        <f t="shared" si="35"/>
        <v>33.5</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33.5</v>
      </c>
      <c r="X250" s="277">
        <f t="shared" si="35"/>
        <v>33.5</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33.5</v>
      </c>
      <c r="X251" s="277">
        <f t="shared" si="35"/>
        <v>33.5</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33.5</v>
      </c>
      <c r="X252" s="277">
        <f t="shared" si="35"/>
        <v>33.5</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33.5</v>
      </c>
      <c r="X253" s="277">
        <f t="shared" si="35"/>
        <v>33.5</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33.5</v>
      </c>
      <c r="X254" s="277">
        <f t="shared" si="35"/>
        <v>33.5</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33.5</v>
      </c>
      <c r="X255" s="277">
        <f t="shared" si="35"/>
        <v>33.5</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33.5</v>
      </c>
      <c r="X256" s="277">
        <f t="shared" si="35"/>
        <v>33.5</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33.5</v>
      </c>
      <c r="X257" s="277">
        <f t="shared" si="35"/>
        <v>33.5</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33.5</v>
      </c>
      <c r="X258" s="277">
        <f t="shared" si="35"/>
        <v>33.5</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33.5</v>
      </c>
      <c r="X259" s="277">
        <f t="shared" si="35"/>
        <v>33.5</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33.5</v>
      </c>
      <c r="X260" s="277">
        <f t="shared" si="35"/>
        <v>33.5</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33.5</v>
      </c>
      <c r="X261" s="277">
        <f t="shared" si="35"/>
        <v>33.5</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33.5</v>
      </c>
      <c r="X262" s="277">
        <f t="shared" si="35"/>
        <v>33.5</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33.5</v>
      </c>
      <c r="X263" s="277">
        <f t="shared" si="35"/>
        <v>33.5</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33.5</v>
      </c>
      <c r="X264" s="277">
        <f t="shared" si="35"/>
        <v>33.5</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33.5</v>
      </c>
      <c r="X265" s="277">
        <f t="shared" si="35"/>
        <v>33.5</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33.5</v>
      </c>
      <c r="X266" s="277">
        <f t="shared" si="35"/>
        <v>33.5</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33.5</v>
      </c>
      <c r="X267" s="277">
        <f t="shared" si="35"/>
        <v>33.5</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33.5</v>
      </c>
      <c r="X268" s="277">
        <f t="shared" si="35"/>
        <v>33.5</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33.5</v>
      </c>
      <c r="X269" s="277">
        <f t="shared" si="35"/>
        <v>33.5</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33.5</v>
      </c>
      <c r="X270" s="277">
        <f t="shared" si="35"/>
        <v>33.5</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33.5</v>
      </c>
      <c r="X271" s="277">
        <f t="shared" si="35"/>
        <v>33.5</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33.5</v>
      </c>
      <c r="X272" s="277">
        <f t="shared" si="35"/>
        <v>33.5</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33.5</v>
      </c>
      <c r="X273" s="277">
        <f t="shared" si="35"/>
        <v>33.5</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33.5</v>
      </c>
      <c r="X274" s="277">
        <f t="shared" si="35"/>
        <v>33.5</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33.5</v>
      </c>
      <c r="X275" s="277">
        <f t="shared" si="35"/>
        <v>33.5</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33.5</v>
      </c>
      <c r="X276" s="277">
        <f t="shared" si="35"/>
        <v>33.5</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33.5</v>
      </c>
      <c r="X277" s="277">
        <f t="shared" si="35"/>
        <v>33.5</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33.5</v>
      </c>
      <c r="X278" s="277">
        <f t="shared" si="35"/>
        <v>33.5</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33.5</v>
      </c>
      <c r="X279" s="277">
        <f t="shared" si="35"/>
        <v>33.5</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33.5</v>
      </c>
      <c r="X280" s="277">
        <f t="shared" si="35"/>
        <v>33.5</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33.5</v>
      </c>
      <c r="X281" s="277">
        <f t="shared" si="35"/>
        <v>33.5</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33.5</v>
      </c>
      <c r="X282" s="277">
        <f t="shared" si="35"/>
        <v>33.5</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33.5</v>
      </c>
      <c r="X283" s="277">
        <f t="shared" si="35"/>
        <v>33.5</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33.5</v>
      </c>
      <c r="X284" s="277">
        <f t="shared" si="35"/>
        <v>33.5</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33.5</v>
      </c>
      <c r="X285" s="277">
        <f t="shared" si="35"/>
        <v>33.5</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33.5</v>
      </c>
      <c r="X286" s="277">
        <f t="shared" si="35"/>
        <v>33.5</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33.5</v>
      </c>
      <c r="X287" s="277">
        <f t="shared" si="35"/>
        <v>33.5</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33.5</v>
      </c>
      <c r="X288" s="277">
        <f t="shared" si="35"/>
        <v>33.5</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33.5</v>
      </c>
      <c r="X289" s="277">
        <f t="shared" si="35"/>
        <v>33.5</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33.5</v>
      </c>
      <c r="X290" s="277">
        <f t="shared" si="35"/>
        <v>33.5</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33.5</v>
      </c>
      <c r="X291" s="277">
        <f t="shared" si="35"/>
        <v>33.5</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33.5</v>
      </c>
      <c r="X292" s="277">
        <f t="shared" ref="X292:X355" si="43">IF(AND(O291&lt;0.333,O292&gt;=0.333),W292,X291)</f>
        <v>33.5</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33.5</v>
      </c>
      <c r="X293" s="277">
        <f t="shared" si="43"/>
        <v>33.5</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33.5</v>
      </c>
      <c r="X294" s="277">
        <f t="shared" si="43"/>
        <v>33.5</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33.5</v>
      </c>
      <c r="X295" s="277">
        <f t="shared" si="43"/>
        <v>33.5</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33.5</v>
      </c>
      <c r="X296" s="277">
        <f t="shared" si="43"/>
        <v>33.5</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33.5</v>
      </c>
      <c r="X297" s="277">
        <f t="shared" si="43"/>
        <v>33.5</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33.5</v>
      </c>
      <c r="X298" s="277">
        <f t="shared" si="43"/>
        <v>33.5</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33.5</v>
      </c>
      <c r="X299" s="277">
        <f t="shared" si="43"/>
        <v>33.5</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33.5</v>
      </c>
      <c r="X300" s="277">
        <f t="shared" si="43"/>
        <v>33.5</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33.5</v>
      </c>
      <c r="X301" s="277">
        <f t="shared" si="43"/>
        <v>33.5</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33.5</v>
      </c>
      <c r="X302" s="277">
        <f t="shared" si="43"/>
        <v>33.5</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33.5</v>
      </c>
      <c r="X303" s="277">
        <f t="shared" si="43"/>
        <v>33.5</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33.5</v>
      </c>
      <c r="X304" s="277">
        <f t="shared" si="43"/>
        <v>33.5</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33.5</v>
      </c>
      <c r="X305" s="277">
        <f t="shared" si="43"/>
        <v>33.5</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33.5</v>
      </c>
      <c r="X306" s="277">
        <f t="shared" si="43"/>
        <v>33.5</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33.5</v>
      </c>
      <c r="X307" s="277">
        <f t="shared" si="43"/>
        <v>33.5</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33.5</v>
      </c>
      <c r="X308" s="277">
        <f t="shared" si="43"/>
        <v>33.5</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33.5</v>
      </c>
      <c r="X309" s="277">
        <f t="shared" si="43"/>
        <v>33.5</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33.5</v>
      </c>
      <c r="X310" s="277">
        <f t="shared" si="43"/>
        <v>33.5</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33.5</v>
      </c>
      <c r="X311" s="277">
        <f t="shared" si="43"/>
        <v>33.5</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33.5</v>
      </c>
      <c r="X312" s="277">
        <f t="shared" si="43"/>
        <v>33.5</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33.5</v>
      </c>
      <c r="X313" s="277">
        <f t="shared" si="43"/>
        <v>33.5</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33.5</v>
      </c>
      <c r="X314" s="277">
        <f t="shared" si="43"/>
        <v>33.5</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33.5</v>
      </c>
      <c r="X315" s="277">
        <f t="shared" si="43"/>
        <v>33.5</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33.5</v>
      </c>
      <c r="X316" s="277">
        <f t="shared" si="43"/>
        <v>33.5</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33.5</v>
      </c>
      <c r="X317" s="277">
        <f t="shared" si="43"/>
        <v>33.5</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33.5</v>
      </c>
      <c r="X318" s="277">
        <f t="shared" si="43"/>
        <v>33.5</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33.5</v>
      </c>
      <c r="X319" s="277">
        <f t="shared" si="43"/>
        <v>33.5</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33.5</v>
      </c>
      <c r="X320" s="277">
        <f t="shared" si="43"/>
        <v>33.5</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33.5</v>
      </c>
      <c r="X321" s="277">
        <f t="shared" si="43"/>
        <v>33.5</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33.5</v>
      </c>
      <c r="X322" s="277">
        <f t="shared" si="43"/>
        <v>33.5</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33.5</v>
      </c>
      <c r="X323" s="277">
        <f t="shared" si="43"/>
        <v>33.5</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33.5</v>
      </c>
      <c r="X324" s="277">
        <f t="shared" si="43"/>
        <v>33.5</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33.5</v>
      </c>
      <c r="X325" s="277">
        <f t="shared" si="43"/>
        <v>33.5</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33.5</v>
      </c>
      <c r="X326" s="277">
        <f t="shared" si="43"/>
        <v>33.5</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33.5</v>
      </c>
      <c r="X327" s="277">
        <f t="shared" si="43"/>
        <v>33.5</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33.5</v>
      </c>
      <c r="X328" s="277">
        <f t="shared" si="43"/>
        <v>33.5</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33.5</v>
      </c>
      <c r="X329" s="277">
        <f t="shared" si="43"/>
        <v>33.5</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33.5</v>
      </c>
      <c r="X330" s="277">
        <f t="shared" si="43"/>
        <v>33.5</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33.5</v>
      </c>
      <c r="X331" s="277">
        <f t="shared" si="43"/>
        <v>33.5</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33.5</v>
      </c>
      <c r="X332" s="277">
        <f t="shared" si="43"/>
        <v>33.5</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33.5</v>
      </c>
      <c r="X333" s="277">
        <f t="shared" si="43"/>
        <v>33.5</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33.5</v>
      </c>
      <c r="X334" s="277">
        <f t="shared" si="43"/>
        <v>33.5</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33.5</v>
      </c>
      <c r="X335" s="277">
        <f t="shared" si="43"/>
        <v>33.5</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33.5</v>
      </c>
      <c r="X336" s="277">
        <f t="shared" si="43"/>
        <v>33.5</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33.5</v>
      </c>
      <c r="X337" s="277">
        <f t="shared" si="43"/>
        <v>33.5</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33.5</v>
      </c>
      <c r="X338" s="277">
        <f t="shared" si="43"/>
        <v>33.5</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33.5</v>
      </c>
      <c r="X339" s="277">
        <f t="shared" si="43"/>
        <v>33.5</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33.5</v>
      </c>
      <c r="X340" s="277">
        <f t="shared" si="43"/>
        <v>33.5</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33.5</v>
      </c>
      <c r="X341" s="277">
        <f t="shared" si="43"/>
        <v>33.5</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33.5</v>
      </c>
      <c r="X342" s="277">
        <f t="shared" si="43"/>
        <v>33.5</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33.5</v>
      </c>
      <c r="X343" s="277">
        <f t="shared" si="43"/>
        <v>33.5</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33.5</v>
      </c>
      <c r="X344" s="277">
        <f t="shared" si="43"/>
        <v>33.5</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33.5</v>
      </c>
      <c r="X345" s="277">
        <f t="shared" si="43"/>
        <v>33.5</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33.5</v>
      </c>
      <c r="X346" s="277">
        <f t="shared" si="43"/>
        <v>33.5</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33.5</v>
      </c>
      <c r="X347" s="277">
        <f t="shared" si="43"/>
        <v>33.5</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33.5</v>
      </c>
      <c r="X348" s="277">
        <f t="shared" si="43"/>
        <v>33.5</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33.5</v>
      </c>
      <c r="X349" s="277">
        <f t="shared" si="43"/>
        <v>33.5</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33.5</v>
      </c>
      <c r="X350" s="277">
        <f t="shared" si="43"/>
        <v>33.5</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33.5</v>
      </c>
      <c r="X351" s="277">
        <f t="shared" si="43"/>
        <v>33.5</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33.5</v>
      </c>
      <c r="X352" s="277">
        <f t="shared" si="43"/>
        <v>33.5</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33.5</v>
      </c>
      <c r="X353" s="277">
        <f t="shared" si="43"/>
        <v>33.5</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33.5</v>
      </c>
      <c r="X354" s="277">
        <f t="shared" si="43"/>
        <v>33.5</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33.5</v>
      </c>
      <c r="X355" s="277">
        <f t="shared" si="43"/>
        <v>33.5</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33.5</v>
      </c>
      <c r="X356" s="277">
        <f t="shared" ref="X356:X419" si="51">IF(AND(O355&lt;0.333,O356&gt;=0.333),W356,X355)</f>
        <v>33.5</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33.5</v>
      </c>
      <c r="X357" s="277">
        <f t="shared" si="51"/>
        <v>33.5</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33.5</v>
      </c>
      <c r="X358" s="277">
        <f t="shared" si="51"/>
        <v>33.5</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33.5</v>
      </c>
      <c r="X359" s="277">
        <f t="shared" si="51"/>
        <v>33.5</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33.5</v>
      </c>
      <c r="X360" s="277">
        <f t="shared" si="51"/>
        <v>33.5</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33.5</v>
      </c>
      <c r="X361" s="277">
        <f t="shared" si="51"/>
        <v>33.5</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33.5</v>
      </c>
      <c r="X362" s="277">
        <f t="shared" si="51"/>
        <v>33.5</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33.5</v>
      </c>
      <c r="X363" s="277">
        <f t="shared" si="51"/>
        <v>33.5</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33.5</v>
      </c>
      <c r="X364" s="277">
        <f t="shared" si="51"/>
        <v>33.5</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33.5</v>
      </c>
      <c r="X365" s="277">
        <f t="shared" si="51"/>
        <v>33.5</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33.5</v>
      </c>
      <c r="X366" s="277">
        <f t="shared" si="51"/>
        <v>33.5</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33.5</v>
      </c>
      <c r="X367" s="277">
        <f t="shared" si="51"/>
        <v>33.5</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33.5</v>
      </c>
      <c r="X368" s="277">
        <f t="shared" si="51"/>
        <v>33.5</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33.5</v>
      </c>
      <c r="X369" s="277">
        <f t="shared" si="51"/>
        <v>33.5</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33.5</v>
      </c>
      <c r="X370" s="277">
        <f t="shared" si="51"/>
        <v>33.5</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33.5</v>
      </c>
      <c r="X371" s="277">
        <f t="shared" si="51"/>
        <v>33.5</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33.5</v>
      </c>
      <c r="X372" s="277">
        <f t="shared" si="51"/>
        <v>33.5</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33.5</v>
      </c>
      <c r="X373" s="277">
        <f t="shared" si="51"/>
        <v>33.5</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33.5</v>
      </c>
      <c r="X374" s="277">
        <f t="shared" si="51"/>
        <v>33.5</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33.5</v>
      </c>
      <c r="X375" s="277">
        <f t="shared" si="51"/>
        <v>33.5</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33.5</v>
      </c>
      <c r="X376" s="277">
        <f t="shared" si="51"/>
        <v>33.5</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33.5</v>
      </c>
      <c r="X377" s="277">
        <f t="shared" si="51"/>
        <v>33.5</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33.5</v>
      </c>
      <c r="X378" s="277">
        <f t="shared" si="51"/>
        <v>33.5</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33.5</v>
      </c>
      <c r="X379" s="277">
        <f t="shared" si="51"/>
        <v>33.5</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33.5</v>
      </c>
      <c r="X380" s="277">
        <f t="shared" si="51"/>
        <v>33.5</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33.5</v>
      </c>
      <c r="X381" s="277">
        <f t="shared" si="51"/>
        <v>33.5</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33.5</v>
      </c>
      <c r="X382" s="277">
        <f t="shared" si="51"/>
        <v>33.5</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33.5</v>
      </c>
      <c r="X383" s="277">
        <f t="shared" si="51"/>
        <v>33.5</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33.5</v>
      </c>
      <c r="X384" s="277">
        <f t="shared" si="51"/>
        <v>33.5</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33.5</v>
      </c>
      <c r="X385" s="277">
        <f t="shared" si="51"/>
        <v>33.5</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33.5</v>
      </c>
      <c r="X386" s="277">
        <f t="shared" si="51"/>
        <v>33.5</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33.5</v>
      </c>
      <c r="X387" s="277">
        <f t="shared" si="51"/>
        <v>33.5</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33.5</v>
      </c>
      <c r="X388" s="277">
        <f t="shared" si="51"/>
        <v>33.5</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33.5</v>
      </c>
      <c r="X389" s="277">
        <f t="shared" si="51"/>
        <v>33.5</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33.5</v>
      </c>
      <c r="X390" s="277">
        <f t="shared" si="51"/>
        <v>33.5</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33.5</v>
      </c>
      <c r="X391" s="277">
        <f t="shared" si="51"/>
        <v>33.5</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33.5</v>
      </c>
      <c r="X392" s="277">
        <f t="shared" si="51"/>
        <v>33.5</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33.5</v>
      </c>
      <c r="X393" s="277">
        <f t="shared" si="51"/>
        <v>33.5</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33.5</v>
      </c>
      <c r="X394" s="277">
        <f t="shared" si="51"/>
        <v>33.5</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33.5</v>
      </c>
      <c r="X395" s="277">
        <f t="shared" si="51"/>
        <v>33.5</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33.5</v>
      </c>
      <c r="X396" s="277">
        <f t="shared" si="51"/>
        <v>33.5</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33.5</v>
      </c>
      <c r="X397" s="277">
        <f t="shared" si="51"/>
        <v>33.5</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33.5</v>
      </c>
      <c r="X398" s="277">
        <f t="shared" si="51"/>
        <v>33.5</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33.5</v>
      </c>
      <c r="X399" s="277">
        <f t="shared" si="51"/>
        <v>33.5</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33.5</v>
      </c>
      <c r="X400" s="277">
        <f t="shared" si="51"/>
        <v>33.5</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33.5</v>
      </c>
      <c r="X401" s="277">
        <f t="shared" si="51"/>
        <v>33.5</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33.5</v>
      </c>
      <c r="X402" s="277">
        <f t="shared" si="51"/>
        <v>33.5</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33.5</v>
      </c>
      <c r="X403" s="277">
        <f t="shared" si="51"/>
        <v>33.5</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33.5</v>
      </c>
      <c r="X404" s="277">
        <f t="shared" si="51"/>
        <v>33.5</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33.5</v>
      </c>
      <c r="X405" s="277">
        <f t="shared" si="51"/>
        <v>33.5</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33.5</v>
      </c>
      <c r="X406" s="277">
        <f t="shared" si="51"/>
        <v>33.5</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33.5</v>
      </c>
      <c r="X407" s="277">
        <f t="shared" si="51"/>
        <v>33.5</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33.5</v>
      </c>
      <c r="X408" s="277">
        <f t="shared" si="51"/>
        <v>33.5</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33.5</v>
      </c>
      <c r="X409" s="277">
        <f t="shared" si="51"/>
        <v>33.5</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33.5</v>
      </c>
      <c r="X410" s="277">
        <f t="shared" si="51"/>
        <v>33.5</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33.5</v>
      </c>
      <c r="X411" s="277">
        <f t="shared" si="51"/>
        <v>33.5</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33.5</v>
      </c>
      <c r="X412" s="277">
        <f t="shared" si="51"/>
        <v>33.5</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33.5</v>
      </c>
      <c r="X413" s="277">
        <f t="shared" si="51"/>
        <v>33.5</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33.5</v>
      </c>
      <c r="X414" s="277">
        <f t="shared" si="51"/>
        <v>33.5</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33.5</v>
      </c>
      <c r="X415" s="277">
        <f t="shared" si="51"/>
        <v>33.5</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33.5</v>
      </c>
      <c r="X416" s="277">
        <f t="shared" si="51"/>
        <v>33.5</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33.5</v>
      </c>
      <c r="X417" s="277">
        <f t="shared" si="51"/>
        <v>33.5</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33.5</v>
      </c>
      <c r="X418" s="277">
        <f t="shared" si="51"/>
        <v>33.5</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33.5</v>
      </c>
      <c r="X419" s="277">
        <f t="shared" si="51"/>
        <v>33.5</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33.5</v>
      </c>
      <c r="X420" s="277">
        <f t="shared" ref="X420:X483" si="59">IF(AND(O419&lt;0.333,O420&gt;=0.333),W420,X419)</f>
        <v>33.5</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33.5</v>
      </c>
      <c r="X421" s="277">
        <f t="shared" si="59"/>
        <v>33.5</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33.5</v>
      </c>
      <c r="X422" s="277">
        <f t="shared" si="59"/>
        <v>33.5</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33.5</v>
      </c>
      <c r="X423" s="277">
        <f t="shared" si="59"/>
        <v>33.5</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33.5</v>
      </c>
      <c r="X424" s="277">
        <f t="shared" si="59"/>
        <v>33.5</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33.5</v>
      </c>
      <c r="X425" s="277">
        <f t="shared" si="59"/>
        <v>33.5</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33.5</v>
      </c>
      <c r="X426" s="277">
        <f t="shared" si="59"/>
        <v>33.5</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33.5</v>
      </c>
      <c r="X427" s="277">
        <f t="shared" si="59"/>
        <v>33.5</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33.5</v>
      </c>
      <c r="X428" s="277">
        <f t="shared" si="59"/>
        <v>33.5</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33.5</v>
      </c>
      <c r="X429" s="277">
        <f t="shared" si="59"/>
        <v>33.5</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33.5</v>
      </c>
      <c r="X430" s="277">
        <f t="shared" si="59"/>
        <v>33.5</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33.5</v>
      </c>
      <c r="X431" s="277">
        <f t="shared" si="59"/>
        <v>33.5</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33.5</v>
      </c>
      <c r="X432" s="277">
        <f t="shared" si="59"/>
        <v>33.5</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33.5</v>
      </c>
      <c r="X433" s="277">
        <f t="shared" si="59"/>
        <v>33.5</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33.5</v>
      </c>
      <c r="X434" s="277">
        <f t="shared" si="59"/>
        <v>33.5</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33.5</v>
      </c>
      <c r="X435" s="277">
        <f t="shared" si="59"/>
        <v>33.5</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33.5</v>
      </c>
      <c r="X436" s="277">
        <f t="shared" si="59"/>
        <v>33.5</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33.5</v>
      </c>
      <c r="X437" s="277">
        <f t="shared" si="59"/>
        <v>33.5</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33.5</v>
      </c>
      <c r="X438" s="277">
        <f t="shared" si="59"/>
        <v>33.5</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33.5</v>
      </c>
      <c r="X439" s="277">
        <f t="shared" si="59"/>
        <v>33.5</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33.5</v>
      </c>
      <c r="X440" s="277">
        <f t="shared" si="59"/>
        <v>33.5</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33.5</v>
      </c>
      <c r="X441" s="277">
        <f t="shared" si="59"/>
        <v>33.5</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33.5</v>
      </c>
      <c r="X442" s="277">
        <f t="shared" si="59"/>
        <v>33.5</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33.5</v>
      </c>
      <c r="X443" s="277">
        <f t="shared" si="59"/>
        <v>33.5</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33.5</v>
      </c>
      <c r="X444" s="277">
        <f t="shared" si="59"/>
        <v>33.5</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33.5</v>
      </c>
      <c r="X445" s="277">
        <f t="shared" si="59"/>
        <v>33.5</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33.5</v>
      </c>
      <c r="X446" s="277">
        <f t="shared" si="59"/>
        <v>33.5</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33.5</v>
      </c>
      <c r="X447" s="277">
        <f t="shared" si="59"/>
        <v>33.5</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33.5</v>
      </c>
      <c r="X448" s="277">
        <f t="shared" si="59"/>
        <v>33.5</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33.5</v>
      </c>
      <c r="X449" s="277">
        <f t="shared" si="59"/>
        <v>33.5</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33.5</v>
      </c>
      <c r="X450" s="277">
        <f t="shared" si="59"/>
        <v>33.5</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33.5</v>
      </c>
      <c r="X451" s="277">
        <f t="shared" si="59"/>
        <v>33.5</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33.5</v>
      </c>
      <c r="X452" s="277">
        <f t="shared" si="59"/>
        <v>33.5</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33.5</v>
      </c>
      <c r="X453" s="277">
        <f t="shared" si="59"/>
        <v>33.5</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33.5</v>
      </c>
      <c r="X454" s="277">
        <f t="shared" si="59"/>
        <v>33.5</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33.5</v>
      </c>
      <c r="X455" s="277">
        <f t="shared" si="59"/>
        <v>33.5</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33.5</v>
      </c>
      <c r="X456" s="277">
        <f t="shared" si="59"/>
        <v>33.5</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33.5</v>
      </c>
      <c r="X457" s="277">
        <f t="shared" si="59"/>
        <v>33.5</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33.5</v>
      </c>
      <c r="X458" s="277">
        <f t="shared" si="59"/>
        <v>33.5</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33.5</v>
      </c>
      <c r="X459" s="277">
        <f t="shared" si="59"/>
        <v>33.5</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33.5</v>
      </c>
      <c r="X460" s="277">
        <f t="shared" si="59"/>
        <v>33.5</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33.5</v>
      </c>
      <c r="X461" s="277">
        <f t="shared" si="59"/>
        <v>33.5</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33.5</v>
      </c>
      <c r="X462" s="277">
        <f t="shared" si="59"/>
        <v>33.5</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33.5</v>
      </c>
      <c r="X463" s="277">
        <f t="shared" si="59"/>
        <v>33.5</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33.5</v>
      </c>
      <c r="X464" s="277">
        <f t="shared" si="59"/>
        <v>33.5</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33.5</v>
      </c>
      <c r="X465" s="277">
        <f t="shared" si="59"/>
        <v>33.5</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33.5</v>
      </c>
      <c r="X466" s="277">
        <f t="shared" si="59"/>
        <v>33.5</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33.5</v>
      </c>
      <c r="X467" s="277">
        <f t="shared" si="59"/>
        <v>33.5</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33.5</v>
      </c>
      <c r="X468" s="277">
        <f t="shared" si="59"/>
        <v>33.5</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33.5</v>
      </c>
      <c r="X469" s="277">
        <f t="shared" si="59"/>
        <v>33.5</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33.5</v>
      </c>
      <c r="X470" s="277">
        <f t="shared" si="59"/>
        <v>33.5</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33.5</v>
      </c>
      <c r="X471" s="277">
        <f t="shared" si="59"/>
        <v>33.5</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33.5</v>
      </c>
      <c r="X472" s="277">
        <f t="shared" si="59"/>
        <v>33.5</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33.5</v>
      </c>
      <c r="X473" s="277">
        <f t="shared" si="59"/>
        <v>33.5</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33.5</v>
      </c>
      <c r="X474" s="277">
        <f t="shared" si="59"/>
        <v>33.5</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33.5</v>
      </c>
      <c r="X475" s="277">
        <f t="shared" si="59"/>
        <v>33.5</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33.5</v>
      </c>
      <c r="X476" s="277">
        <f t="shared" si="59"/>
        <v>33.5</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33.5</v>
      </c>
      <c r="X477" s="277">
        <f t="shared" si="59"/>
        <v>33.5</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33.5</v>
      </c>
      <c r="X478" s="277">
        <f t="shared" si="59"/>
        <v>33.5</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33.5</v>
      </c>
      <c r="X479" s="277">
        <f t="shared" si="59"/>
        <v>33.5</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33.5</v>
      </c>
      <c r="X480" s="277">
        <f t="shared" si="59"/>
        <v>33.5</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33.5</v>
      </c>
      <c r="X481" s="277">
        <f t="shared" si="59"/>
        <v>33.5</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33.5</v>
      </c>
      <c r="X482" s="277">
        <f t="shared" si="59"/>
        <v>33.5</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33.5</v>
      </c>
      <c r="X483" s="277">
        <f t="shared" si="59"/>
        <v>33.5</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33.5</v>
      </c>
      <c r="X484" s="277">
        <f t="shared" ref="X484:X547" si="67">IF(AND(O483&lt;0.333,O484&gt;=0.333),W484,X483)</f>
        <v>33.5</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33.5</v>
      </c>
      <c r="X485" s="277">
        <f t="shared" si="67"/>
        <v>33.5</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33.5</v>
      </c>
      <c r="X486" s="277">
        <f t="shared" si="67"/>
        <v>33.5</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33.5</v>
      </c>
      <c r="X487" s="277">
        <f t="shared" si="67"/>
        <v>33.5</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33.5</v>
      </c>
      <c r="X488" s="277">
        <f t="shared" si="67"/>
        <v>33.5</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33.5</v>
      </c>
      <c r="X489" s="277">
        <f t="shared" si="67"/>
        <v>33.5</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33.5</v>
      </c>
      <c r="X490" s="277">
        <f t="shared" si="67"/>
        <v>33.5</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33.5</v>
      </c>
      <c r="X491" s="277">
        <f t="shared" si="67"/>
        <v>33.5</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33.5</v>
      </c>
      <c r="X492" s="277">
        <f t="shared" si="67"/>
        <v>33.5</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33.5</v>
      </c>
      <c r="X493" s="277">
        <f t="shared" si="67"/>
        <v>33.5</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33.5</v>
      </c>
      <c r="X494" s="277">
        <f t="shared" si="67"/>
        <v>33.5</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33.5</v>
      </c>
      <c r="X495" s="277">
        <f t="shared" si="67"/>
        <v>33.5</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33.5</v>
      </c>
      <c r="X496" s="277">
        <f t="shared" si="67"/>
        <v>33.5</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33.5</v>
      </c>
      <c r="X497" s="277">
        <f t="shared" si="67"/>
        <v>33.5</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33.5</v>
      </c>
      <c r="X498" s="277">
        <f t="shared" si="67"/>
        <v>33.5</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33.5</v>
      </c>
      <c r="X499" s="277">
        <f t="shared" si="67"/>
        <v>33.5</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33.5</v>
      </c>
      <c r="X500" s="277">
        <f t="shared" si="67"/>
        <v>33.5</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33.5</v>
      </c>
      <c r="X501" s="277">
        <f t="shared" si="67"/>
        <v>33.5</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33.5</v>
      </c>
      <c r="X502" s="277">
        <f t="shared" si="67"/>
        <v>33.5</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33.5</v>
      </c>
      <c r="X503" s="277">
        <f t="shared" si="67"/>
        <v>33.5</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33.5</v>
      </c>
      <c r="X504" s="277">
        <f t="shared" si="67"/>
        <v>33.5</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33.5</v>
      </c>
      <c r="X505" s="277">
        <f t="shared" si="67"/>
        <v>33.5</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33.5</v>
      </c>
      <c r="X506" s="277">
        <f t="shared" si="67"/>
        <v>33.5</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33.5</v>
      </c>
      <c r="X507" s="277">
        <f t="shared" si="67"/>
        <v>33.5</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33.5</v>
      </c>
      <c r="X508" s="277">
        <f t="shared" si="67"/>
        <v>33.5</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33.5</v>
      </c>
      <c r="X509" s="277">
        <f t="shared" si="67"/>
        <v>33.5</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33.5</v>
      </c>
      <c r="X510" s="277">
        <f t="shared" si="67"/>
        <v>33.5</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33.5</v>
      </c>
      <c r="X511" s="277">
        <f t="shared" si="67"/>
        <v>33.5</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33.5</v>
      </c>
      <c r="X512" s="277">
        <f t="shared" si="67"/>
        <v>33.5</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33.5</v>
      </c>
      <c r="X513" s="277">
        <f t="shared" si="67"/>
        <v>33.5</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33.5</v>
      </c>
      <c r="X514" s="277">
        <f t="shared" si="67"/>
        <v>33.5</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33.5</v>
      </c>
      <c r="X515" s="277">
        <f t="shared" si="67"/>
        <v>33.5</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33.5</v>
      </c>
      <c r="X516" s="277">
        <f t="shared" si="67"/>
        <v>33.5</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33.5</v>
      </c>
      <c r="X517" s="277">
        <f t="shared" si="67"/>
        <v>33.5</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33.5</v>
      </c>
      <c r="X518" s="277">
        <f t="shared" si="67"/>
        <v>33.5</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33.5</v>
      </c>
      <c r="X519" s="277">
        <f t="shared" si="67"/>
        <v>33.5</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33.5</v>
      </c>
      <c r="X520" s="277">
        <f t="shared" si="67"/>
        <v>33.5</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33.5</v>
      </c>
      <c r="X521" s="277">
        <f t="shared" si="67"/>
        <v>33.5</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33.5</v>
      </c>
      <c r="X522" s="277">
        <f t="shared" si="67"/>
        <v>33.5</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33.5</v>
      </c>
      <c r="X523" s="277">
        <f t="shared" si="67"/>
        <v>33.5</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33.5</v>
      </c>
      <c r="X524" s="277">
        <f t="shared" si="67"/>
        <v>33.5</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33.5</v>
      </c>
      <c r="X525" s="277">
        <f t="shared" si="67"/>
        <v>33.5</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33.5</v>
      </c>
      <c r="X526" s="277">
        <f t="shared" si="67"/>
        <v>33.5</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33.5</v>
      </c>
      <c r="X527" s="277">
        <f t="shared" si="67"/>
        <v>33.5</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33.5</v>
      </c>
      <c r="X528" s="277">
        <f t="shared" si="67"/>
        <v>33.5</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33.5</v>
      </c>
      <c r="X529" s="277">
        <f t="shared" si="67"/>
        <v>33.5</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33.5</v>
      </c>
      <c r="X530" s="277">
        <f t="shared" si="67"/>
        <v>33.5</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33.5</v>
      </c>
      <c r="X531" s="277">
        <f t="shared" si="67"/>
        <v>33.5</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33.5</v>
      </c>
      <c r="X532" s="277">
        <f t="shared" si="67"/>
        <v>33.5</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33.5</v>
      </c>
      <c r="X533" s="277">
        <f t="shared" si="67"/>
        <v>33.5</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33.5</v>
      </c>
      <c r="X534" s="277">
        <f t="shared" si="67"/>
        <v>33.5</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33.5</v>
      </c>
      <c r="X535" s="277">
        <f t="shared" si="67"/>
        <v>33.5</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33.5</v>
      </c>
      <c r="X536" s="277">
        <f t="shared" si="67"/>
        <v>33.5</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33.5</v>
      </c>
      <c r="X537" s="277">
        <f t="shared" si="67"/>
        <v>33.5</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33.5</v>
      </c>
      <c r="X538" s="277">
        <f t="shared" si="67"/>
        <v>33.5</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33.5</v>
      </c>
      <c r="X539" s="277">
        <f t="shared" si="67"/>
        <v>33.5</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33.5</v>
      </c>
      <c r="X540" s="277">
        <f t="shared" si="67"/>
        <v>33.5</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33.5</v>
      </c>
      <c r="X541" s="277">
        <f t="shared" si="67"/>
        <v>33.5</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33.5</v>
      </c>
      <c r="X542" s="277">
        <f t="shared" si="67"/>
        <v>33.5</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33.5</v>
      </c>
      <c r="X543" s="277">
        <f t="shared" si="67"/>
        <v>33.5</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33.5</v>
      </c>
      <c r="X544" s="277">
        <f t="shared" si="67"/>
        <v>33.5</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33.5</v>
      </c>
      <c r="X545" s="277">
        <f t="shared" si="67"/>
        <v>33.5</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33.5</v>
      </c>
      <c r="X546" s="277">
        <f t="shared" si="67"/>
        <v>33.5</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33.5</v>
      </c>
      <c r="X547" s="277">
        <f t="shared" si="67"/>
        <v>33.5</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33.5</v>
      </c>
      <c r="X548" s="277">
        <f t="shared" ref="X548:X611" si="75">IF(AND(O547&lt;0.333,O548&gt;=0.333),W548,X547)</f>
        <v>33.5</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33.5</v>
      </c>
      <c r="X549" s="277">
        <f t="shared" si="75"/>
        <v>33.5</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33.5</v>
      </c>
      <c r="X550" s="277">
        <f t="shared" si="75"/>
        <v>33.5</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33.5</v>
      </c>
      <c r="X551" s="277">
        <f t="shared" si="75"/>
        <v>33.5</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33.5</v>
      </c>
      <c r="X552" s="277">
        <f t="shared" si="75"/>
        <v>33.5</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33.5</v>
      </c>
      <c r="X553" s="277">
        <f t="shared" si="75"/>
        <v>33.5</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33.5</v>
      </c>
      <c r="X554" s="277">
        <f t="shared" si="75"/>
        <v>33.5</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33.5</v>
      </c>
      <c r="X555" s="277">
        <f t="shared" si="75"/>
        <v>33.5</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33.5</v>
      </c>
      <c r="X556" s="277">
        <f t="shared" si="75"/>
        <v>33.5</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33.5</v>
      </c>
      <c r="X557" s="277">
        <f t="shared" si="75"/>
        <v>33.5</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33.5</v>
      </c>
      <c r="X558" s="277">
        <f t="shared" si="75"/>
        <v>33.5</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33.5</v>
      </c>
      <c r="X559" s="277">
        <f t="shared" si="75"/>
        <v>33.5</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33.5</v>
      </c>
      <c r="X560" s="277">
        <f t="shared" si="75"/>
        <v>33.5</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33.5</v>
      </c>
      <c r="X561" s="277">
        <f t="shared" si="75"/>
        <v>33.5</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33.5</v>
      </c>
      <c r="X562" s="277">
        <f t="shared" si="75"/>
        <v>33.5</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33.5</v>
      </c>
      <c r="X563" s="277">
        <f t="shared" si="75"/>
        <v>33.5</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33.5</v>
      </c>
      <c r="X564" s="277">
        <f t="shared" si="75"/>
        <v>33.5</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33.5</v>
      </c>
      <c r="X565" s="277">
        <f t="shared" si="75"/>
        <v>33.5</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33.5</v>
      </c>
      <c r="X566" s="277">
        <f t="shared" si="75"/>
        <v>33.5</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33.5</v>
      </c>
      <c r="X567" s="277">
        <f t="shared" si="75"/>
        <v>33.5</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33.5</v>
      </c>
      <c r="X568" s="277">
        <f t="shared" si="75"/>
        <v>33.5</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33.5</v>
      </c>
      <c r="X569" s="277">
        <f t="shared" si="75"/>
        <v>33.5</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33.5</v>
      </c>
      <c r="X570" s="277">
        <f t="shared" si="75"/>
        <v>33.5</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33.5</v>
      </c>
      <c r="X571" s="277">
        <f t="shared" si="75"/>
        <v>33.5</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33.5</v>
      </c>
      <c r="X572" s="277">
        <f t="shared" si="75"/>
        <v>33.5</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33.5</v>
      </c>
      <c r="X573" s="277">
        <f t="shared" si="75"/>
        <v>33.5</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33.5</v>
      </c>
      <c r="X574" s="277">
        <f t="shared" si="75"/>
        <v>33.5</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33.5</v>
      </c>
      <c r="X575" s="277">
        <f t="shared" si="75"/>
        <v>33.5</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33.5</v>
      </c>
      <c r="X576" s="277">
        <f t="shared" si="75"/>
        <v>33.5</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33.5</v>
      </c>
      <c r="X577" s="277">
        <f t="shared" si="75"/>
        <v>33.5</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33.5</v>
      </c>
      <c r="X578" s="277">
        <f t="shared" si="75"/>
        <v>33.5</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33.5</v>
      </c>
      <c r="X579" s="277">
        <f t="shared" si="75"/>
        <v>33.5</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33.5</v>
      </c>
      <c r="X580" s="277">
        <f t="shared" si="75"/>
        <v>33.5</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33.5</v>
      </c>
      <c r="X581" s="277">
        <f t="shared" si="75"/>
        <v>33.5</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33.5</v>
      </c>
      <c r="X582" s="277">
        <f t="shared" si="75"/>
        <v>33.5</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33.5</v>
      </c>
      <c r="X583" s="277">
        <f t="shared" si="75"/>
        <v>33.5</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33.5</v>
      </c>
      <c r="X584" s="277">
        <f t="shared" si="75"/>
        <v>33.5</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33.5</v>
      </c>
      <c r="X585" s="277">
        <f t="shared" si="75"/>
        <v>33.5</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33.5</v>
      </c>
      <c r="X586" s="277">
        <f t="shared" si="75"/>
        <v>33.5</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33.5</v>
      </c>
      <c r="X587" s="277">
        <f t="shared" si="75"/>
        <v>33.5</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33.5</v>
      </c>
      <c r="X588" s="277">
        <f t="shared" si="75"/>
        <v>33.5</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33.5</v>
      </c>
      <c r="X589" s="277">
        <f t="shared" si="75"/>
        <v>33.5</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33.5</v>
      </c>
      <c r="X590" s="277">
        <f t="shared" si="75"/>
        <v>33.5</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33.5</v>
      </c>
      <c r="X591" s="277">
        <f t="shared" si="75"/>
        <v>33.5</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33.5</v>
      </c>
      <c r="X592" s="277">
        <f t="shared" si="75"/>
        <v>33.5</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33.5</v>
      </c>
      <c r="X593" s="277">
        <f t="shared" si="75"/>
        <v>33.5</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33.5</v>
      </c>
      <c r="X594" s="277">
        <f t="shared" si="75"/>
        <v>33.5</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33.5</v>
      </c>
      <c r="X595" s="277">
        <f t="shared" si="75"/>
        <v>33.5</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33.5</v>
      </c>
      <c r="X596" s="277">
        <f t="shared" si="75"/>
        <v>33.5</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33.5</v>
      </c>
      <c r="X597" s="277">
        <f t="shared" si="75"/>
        <v>33.5</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33.5</v>
      </c>
      <c r="X598" s="277">
        <f t="shared" si="75"/>
        <v>33.5</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33.5</v>
      </c>
      <c r="X599" s="277">
        <f t="shared" si="75"/>
        <v>33.5</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33.5</v>
      </c>
      <c r="X600" s="277">
        <f t="shared" si="75"/>
        <v>33.5</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33.5</v>
      </c>
      <c r="X601" s="277">
        <f t="shared" si="75"/>
        <v>33.5</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33.5</v>
      </c>
      <c r="X602" s="277">
        <f t="shared" si="75"/>
        <v>33.5</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33.5</v>
      </c>
      <c r="X603" s="277">
        <f t="shared" si="75"/>
        <v>33.5</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33.5</v>
      </c>
      <c r="X604" s="277">
        <f t="shared" si="75"/>
        <v>33.5</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33.5</v>
      </c>
      <c r="X605" s="277">
        <f t="shared" si="75"/>
        <v>33.5</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33.5</v>
      </c>
      <c r="X606" s="277">
        <f t="shared" si="75"/>
        <v>33.5</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33.5</v>
      </c>
      <c r="X607" s="277">
        <f t="shared" si="75"/>
        <v>33.5</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33.5</v>
      </c>
      <c r="X608" s="277">
        <f t="shared" si="75"/>
        <v>33.5</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33.5</v>
      </c>
      <c r="X609" s="277">
        <f t="shared" si="75"/>
        <v>33.5</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33.5</v>
      </c>
      <c r="X610" s="277">
        <f t="shared" si="75"/>
        <v>33.5</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33.5</v>
      </c>
      <c r="X611" s="277">
        <f t="shared" si="75"/>
        <v>33.5</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33.5</v>
      </c>
      <c r="X612" s="277">
        <f t="shared" ref="X612:X675" si="83">IF(AND(O611&lt;0.333,O612&gt;=0.333),W612,X611)</f>
        <v>33.5</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33.5</v>
      </c>
      <c r="X613" s="277">
        <f t="shared" si="83"/>
        <v>33.5</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33.5</v>
      </c>
      <c r="X614" s="277">
        <f t="shared" si="83"/>
        <v>33.5</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33.5</v>
      </c>
      <c r="X615" s="277">
        <f t="shared" si="83"/>
        <v>33.5</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33.5</v>
      </c>
      <c r="X616" s="277">
        <f t="shared" si="83"/>
        <v>33.5</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33.5</v>
      </c>
      <c r="X617" s="277">
        <f t="shared" si="83"/>
        <v>33.5</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33.5</v>
      </c>
      <c r="X618" s="277">
        <f t="shared" si="83"/>
        <v>33.5</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33.5</v>
      </c>
      <c r="X619" s="277">
        <f t="shared" si="83"/>
        <v>33.5</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33.5</v>
      </c>
      <c r="X620" s="277">
        <f t="shared" si="83"/>
        <v>33.5</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33.5</v>
      </c>
      <c r="X621" s="277">
        <f t="shared" si="83"/>
        <v>33.5</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33.5</v>
      </c>
      <c r="X622" s="277">
        <f t="shared" si="83"/>
        <v>33.5</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33.5</v>
      </c>
      <c r="X623" s="277">
        <f t="shared" si="83"/>
        <v>33.5</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33.5</v>
      </c>
      <c r="X624" s="277">
        <f t="shared" si="83"/>
        <v>33.5</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33.5</v>
      </c>
      <c r="X625" s="277">
        <f t="shared" si="83"/>
        <v>33.5</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33.5</v>
      </c>
      <c r="X626" s="277">
        <f t="shared" si="83"/>
        <v>33.5</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33.5</v>
      </c>
      <c r="X627" s="277">
        <f t="shared" si="83"/>
        <v>33.5</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33.5</v>
      </c>
      <c r="X628" s="277">
        <f t="shared" si="83"/>
        <v>33.5</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33.5</v>
      </c>
      <c r="X629" s="277">
        <f t="shared" si="83"/>
        <v>33.5</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33.5</v>
      </c>
      <c r="X630" s="277">
        <f t="shared" si="83"/>
        <v>33.5</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33.5</v>
      </c>
      <c r="X631" s="277">
        <f t="shared" si="83"/>
        <v>33.5</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33.5</v>
      </c>
      <c r="X632" s="277">
        <f t="shared" si="83"/>
        <v>33.5</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33.5</v>
      </c>
      <c r="X633" s="277">
        <f t="shared" si="83"/>
        <v>33.5</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33.5</v>
      </c>
      <c r="X634" s="277">
        <f t="shared" si="83"/>
        <v>33.5</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33.5</v>
      </c>
      <c r="X635" s="277">
        <f t="shared" si="83"/>
        <v>33.5</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33.5</v>
      </c>
      <c r="X636" s="277">
        <f t="shared" si="83"/>
        <v>33.5</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33.5</v>
      </c>
      <c r="X637" s="277">
        <f t="shared" si="83"/>
        <v>33.5</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33.5</v>
      </c>
      <c r="X638" s="277">
        <f t="shared" si="83"/>
        <v>33.5</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33.5</v>
      </c>
      <c r="X639" s="277">
        <f t="shared" si="83"/>
        <v>33.5</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33.5</v>
      </c>
      <c r="X640" s="277">
        <f t="shared" si="83"/>
        <v>33.5</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33.5</v>
      </c>
      <c r="X641" s="277">
        <f t="shared" si="83"/>
        <v>33.5</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33.5</v>
      </c>
      <c r="X642" s="277">
        <f t="shared" si="83"/>
        <v>33.5</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33.5</v>
      </c>
      <c r="X643" s="277">
        <f t="shared" si="83"/>
        <v>33.5</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33.5</v>
      </c>
      <c r="X644" s="277">
        <f t="shared" si="83"/>
        <v>33.5</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33.5</v>
      </c>
      <c r="X645" s="277">
        <f t="shared" si="83"/>
        <v>33.5</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33.5</v>
      </c>
      <c r="X646" s="277">
        <f t="shared" si="83"/>
        <v>33.5</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33.5</v>
      </c>
      <c r="X647" s="277">
        <f t="shared" si="83"/>
        <v>33.5</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33.5</v>
      </c>
      <c r="X648" s="277">
        <f t="shared" si="83"/>
        <v>33.5</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33.5</v>
      </c>
      <c r="X649" s="277">
        <f t="shared" si="83"/>
        <v>33.5</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33.5</v>
      </c>
      <c r="X650" s="277">
        <f t="shared" si="83"/>
        <v>33.5</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33.5</v>
      </c>
      <c r="X651" s="277">
        <f t="shared" si="83"/>
        <v>33.5</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33.5</v>
      </c>
      <c r="X652" s="277">
        <f t="shared" si="83"/>
        <v>33.5</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33.5</v>
      </c>
      <c r="X653" s="277">
        <f t="shared" si="83"/>
        <v>33.5</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33.5</v>
      </c>
      <c r="X654" s="277">
        <f t="shared" si="83"/>
        <v>33.5</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33.5</v>
      </c>
      <c r="X655" s="277">
        <f t="shared" si="83"/>
        <v>33.5</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33.5</v>
      </c>
      <c r="X656" s="277">
        <f t="shared" si="83"/>
        <v>33.5</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33.5</v>
      </c>
      <c r="X657" s="277">
        <f t="shared" si="83"/>
        <v>33.5</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33.5</v>
      </c>
      <c r="X658" s="277">
        <f t="shared" si="83"/>
        <v>33.5</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33.5</v>
      </c>
      <c r="X659" s="277">
        <f t="shared" si="83"/>
        <v>33.5</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33.5</v>
      </c>
      <c r="X660" s="277">
        <f t="shared" si="83"/>
        <v>33.5</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33.5</v>
      </c>
      <c r="X661" s="277">
        <f t="shared" si="83"/>
        <v>33.5</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33.5</v>
      </c>
      <c r="X662" s="277">
        <f t="shared" si="83"/>
        <v>33.5</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33.5</v>
      </c>
      <c r="X663" s="277">
        <f t="shared" si="83"/>
        <v>33.5</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33.5</v>
      </c>
      <c r="X664" s="277">
        <f t="shared" si="83"/>
        <v>33.5</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33.5</v>
      </c>
      <c r="X665" s="277">
        <f t="shared" si="83"/>
        <v>33.5</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33.5</v>
      </c>
      <c r="X666" s="277">
        <f t="shared" si="83"/>
        <v>33.5</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33.5</v>
      </c>
      <c r="X667" s="277">
        <f t="shared" si="83"/>
        <v>33.5</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33.5</v>
      </c>
      <c r="X668" s="277">
        <f t="shared" si="83"/>
        <v>33.5</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33.5</v>
      </c>
      <c r="X669" s="277">
        <f t="shared" si="83"/>
        <v>33.5</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33.5</v>
      </c>
      <c r="X670" s="277">
        <f t="shared" si="83"/>
        <v>33.5</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33.5</v>
      </c>
      <c r="X671" s="277">
        <f t="shared" si="83"/>
        <v>33.5</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33.5</v>
      </c>
      <c r="X672" s="277">
        <f t="shared" si="83"/>
        <v>33.5</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33.5</v>
      </c>
      <c r="X673" s="277">
        <f t="shared" si="83"/>
        <v>33.5</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33.5</v>
      </c>
      <c r="X674" s="277">
        <f t="shared" si="83"/>
        <v>33.5</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33.5</v>
      </c>
      <c r="X675" s="277">
        <f t="shared" si="83"/>
        <v>33.5</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33.5</v>
      </c>
      <c r="X676" s="277">
        <f t="shared" ref="X676:X739" si="91">IF(AND(O675&lt;0.333,O676&gt;=0.333),W676,X675)</f>
        <v>33.5</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33.5</v>
      </c>
      <c r="X677" s="277">
        <f t="shared" si="91"/>
        <v>33.5</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33.5</v>
      </c>
      <c r="X678" s="277">
        <f t="shared" si="91"/>
        <v>33.5</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33.5</v>
      </c>
      <c r="X679" s="277">
        <f t="shared" si="91"/>
        <v>33.5</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33.5</v>
      </c>
      <c r="X680" s="277">
        <f t="shared" si="91"/>
        <v>33.5</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33.5</v>
      </c>
      <c r="X681" s="277">
        <f t="shared" si="91"/>
        <v>33.5</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33.5</v>
      </c>
      <c r="X682" s="277">
        <f t="shared" si="91"/>
        <v>33.5</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33.5</v>
      </c>
      <c r="X683" s="277">
        <f t="shared" si="91"/>
        <v>33.5</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33.5</v>
      </c>
      <c r="X684" s="277">
        <f t="shared" si="91"/>
        <v>33.5</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33.5</v>
      </c>
      <c r="X685" s="277">
        <f t="shared" si="91"/>
        <v>33.5</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33.5</v>
      </c>
      <c r="X686" s="277">
        <f t="shared" si="91"/>
        <v>33.5</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33.5</v>
      </c>
      <c r="X687" s="277">
        <f t="shared" si="91"/>
        <v>33.5</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33.5</v>
      </c>
      <c r="X688" s="277">
        <f t="shared" si="91"/>
        <v>33.5</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33.5</v>
      </c>
      <c r="X689" s="277">
        <f t="shared" si="91"/>
        <v>33.5</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33.5</v>
      </c>
      <c r="X690" s="277">
        <f t="shared" si="91"/>
        <v>33.5</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33.5</v>
      </c>
      <c r="X691" s="277">
        <f t="shared" si="91"/>
        <v>33.5</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33.5</v>
      </c>
      <c r="X692" s="277">
        <f t="shared" si="91"/>
        <v>33.5</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33.5</v>
      </c>
      <c r="X693" s="277">
        <f t="shared" si="91"/>
        <v>33.5</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33.5</v>
      </c>
      <c r="X694" s="277">
        <f t="shared" si="91"/>
        <v>33.5</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33.5</v>
      </c>
      <c r="X695" s="277">
        <f t="shared" si="91"/>
        <v>33.5</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33.5</v>
      </c>
      <c r="X696" s="277">
        <f t="shared" si="91"/>
        <v>33.5</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33.5</v>
      </c>
      <c r="X697" s="277">
        <f t="shared" si="91"/>
        <v>33.5</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33.5</v>
      </c>
      <c r="X698" s="277">
        <f t="shared" si="91"/>
        <v>33.5</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33.5</v>
      </c>
      <c r="X699" s="277">
        <f t="shared" si="91"/>
        <v>33.5</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33.5</v>
      </c>
      <c r="X700" s="277">
        <f t="shared" si="91"/>
        <v>33.5</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33.5</v>
      </c>
      <c r="X701" s="277">
        <f t="shared" si="91"/>
        <v>33.5</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33.5</v>
      </c>
      <c r="X702" s="277">
        <f t="shared" si="91"/>
        <v>33.5</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33.5</v>
      </c>
      <c r="X703" s="277">
        <f t="shared" si="91"/>
        <v>33.5</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33.5</v>
      </c>
      <c r="X704" s="277">
        <f t="shared" si="91"/>
        <v>33.5</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33.5</v>
      </c>
      <c r="X705" s="277">
        <f t="shared" si="91"/>
        <v>33.5</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33.5</v>
      </c>
      <c r="X706" s="277">
        <f t="shared" si="91"/>
        <v>33.5</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33.5</v>
      </c>
      <c r="X707" s="277">
        <f t="shared" si="91"/>
        <v>33.5</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33.5</v>
      </c>
      <c r="X708" s="277">
        <f t="shared" si="91"/>
        <v>33.5</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33.5</v>
      </c>
      <c r="X709" s="277">
        <f t="shared" si="91"/>
        <v>33.5</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33.5</v>
      </c>
      <c r="X710" s="277">
        <f t="shared" si="91"/>
        <v>33.5</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33.5</v>
      </c>
      <c r="X711" s="277">
        <f t="shared" si="91"/>
        <v>33.5</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33.5</v>
      </c>
      <c r="X712" s="277">
        <f t="shared" si="91"/>
        <v>33.5</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33.5</v>
      </c>
      <c r="X713" s="277">
        <f t="shared" si="91"/>
        <v>33.5</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33.5</v>
      </c>
      <c r="X714" s="277">
        <f t="shared" si="91"/>
        <v>33.5</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33.5</v>
      </c>
      <c r="X715" s="277">
        <f t="shared" si="91"/>
        <v>33.5</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33.5</v>
      </c>
      <c r="X716" s="277">
        <f t="shared" si="91"/>
        <v>33.5</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33.5</v>
      </c>
      <c r="X717" s="277">
        <f t="shared" si="91"/>
        <v>33.5</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33.5</v>
      </c>
      <c r="X718" s="277">
        <f t="shared" si="91"/>
        <v>33.5</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33.5</v>
      </c>
      <c r="X719" s="277">
        <f t="shared" si="91"/>
        <v>33.5</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33.5</v>
      </c>
      <c r="X720" s="277">
        <f t="shared" si="91"/>
        <v>33.5</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33.5</v>
      </c>
      <c r="X721" s="277">
        <f t="shared" si="91"/>
        <v>33.5</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33.5</v>
      </c>
      <c r="X722" s="277">
        <f t="shared" si="91"/>
        <v>33.5</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33.5</v>
      </c>
      <c r="X723" s="277">
        <f t="shared" si="91"/>
        <v>33.5</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33.5</v>
      </c>
      <c r="X724" s="277">
        <f t="shared" si="91"/>
        <v>33.5</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33.5</v>
      </c>
      <c r="X725" s="277">
        <f t="shared" si="91"/>
        <v>33.5</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33.5</v>
      </c>
      <c r="X726" s="277">
        <f t="shared" si="91"/>
        <v>33.5</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33.5</v>
      </c>
      <c r="X727" s="277">
        <f t="shared" si="91"/>
        <v>33.5</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33.5</v>
      </c>
      <c r="X728" s="277">
        <f t="shared" si="91"/>
        <v>33.5</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33.5</v>
      </c>
      <c r="X729" s="277">
        <f t="shared" si="91"/>
        <v>33.5</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33.5</v>
      </c>
      <c r="X730" s="277">
        <f t="shared" si="91"/>
        <v>33.5</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33.5</v>
      </c>
      <c r="X731" s="277">
        <f t="shared" si="91"/>
        <v>33.5</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33.5</v>
      </c>
      <c r="X732" s="277">
        <f t="shared" si="91"/>
        <v>33.5</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33.5</v>
      </c>
      <c r="X733" s="277">
        <f t="shared" si="91"/>
        <v>33.5</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33.5</v>
      </c>
      <c r="X734" s="277">
        <f t="shared" si="91"/>
        <v>33.5</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33.5</v>
      </c>
      <c r="X735" s="277">
        <f t="shared" si="91"/>
        <v>33.5</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33.5</v>
      </c>
      <c r="X736" s="277">
        <f t="shared" si="91"/>
        <v>33.5</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33.5</v>
      </c>
      <c r="X737" s="277">
        <f t="shared" si="91"/>
        <v>33.5</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33.5</v>
      </c>
      <c r="X738" s="277">
        <f t="shared" si="91"/>
        <v>33.5</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33.5</v>
      </c>
      <c r="X739" s="277">
        <f t="shared" si="91"/>
        <v>33.5</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33.5</v>
      </c>
      <c r="X740" s="277">
        <f t="shared" ref="X740:X762" si="99">IF(AND(O739&lt;0.333,O740&gt;=0.333),W740,X739)</f>
        <v>33.5</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33.5</v>
      </c>
      <c r="X741" s="277">
        <f t="shared" si="99"/>
        <v>33.5</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33.5</v>
      </c>
      <c r="X742" s="277">
        <f t="shared" si="99"/>
        <v>33.5</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33.5</v>
      </c>
      <c r="X743" s="277">
        <f t="shared" si="99"/>
        <v>33.5</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33.5</v>
      </c>
      <c r="X744" s="277">
        <f t="shared" si="99"/>
        <v>33.5</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33.5</v>
      </c>
      <c r="X745" s="277">
        <f t="shared" si="99"/>
        <v>33.5</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33.5</v>
      </c>
      <c r="X746" s="277">
        <f t="shared" si="99"/>
        <v>33.5</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33.5</v>
      </c>
      <c r="X747" s="277">
        <f t="shared" si="99"/>
        <v>33.5</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33.5</v>
      </c>
      <c r="X748" s="277">
        <f t="shared" si="99"/>
        <v>33.5</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33.5</v>
      </c>
      <c r="X749" s="277">
        <f t="shared" si="99"/>
        <v>33.5</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33.5</v>
      </c>
      <c r="X750" s="277">
        <f t="shared" si="99"/>
        <v>33.5</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33.5</v>
      </c>
      <c r="X751" s="277">
        <f t="shared" si="99"/>
        <v>33.5</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33.5</v>
      </c>
      <c r="X752" s="277">
        <f t="shared" si="99"/>
        <v>33.5</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33.5</v>
      </c>
      <c r="X753" s="277">
        <f t="shared" si="99"/>
        <v>33.5</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33.5</v>
      </c>
      <c r="X754" s="277">
        <f t="shared" si="99"/>
        <v>33.5</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33.5</v>
      </c>
      <c r="X755" s="277">
        <f t="shared" si="99"/>
        <v>33.5</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33.5</v>
      </c>
      <c r="X756" s="277">
        <f t="shared" si="99"/>
        <v>33.5</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33.5</v>
      </c>
      <c r="X757" s="277">
        <f t="shared" si="99"/>
        <v>33.5</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33.5</v>
      </c>
      <c r="X758" s="277">
        <f t="shared" si="99"/>
        <v>33.5</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33.5</v>
      </c>
      <c r="X759" s="277">
        <f t="shared" si="99"/>
        <v>33.5</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33.5</v>
      </c>
      <c r="X760" s="277">
        <f t="shared" si="99"/>
        <v>33.5</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33.5</v>
      </c>
      <c r="X761" s="277">
        <f t="shared" si="99"/>
        <v>33.5</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33.5</v>
      </c>
      <c r="X762" s="277">
        <f t="shared" si="99"/>
        <v>33.5</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1125</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1126</v>
      </c>
      <c r="C33" s="723" t="s">
        <v>1127</v>
      </c>
    </row>
    <row r="34" spans="2:7" x14ac:dyDescent="0.25">
      <c r="B34" s="90"/>
    </row>
    <row r="35" spans="2:7" ht="62.25" customHeight="1" x14ac:dyDescent="0.25">
      <c r="B35" s="724" t="s">
        <v>1128</v>
      </c>
      <c r="C35" s="723" t="s">
        <v>1129</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topLeftCell="A62" zoomScaleNormal="100" workbookViewId="0">
      <selection activeCell="B92" sqref="B92:H367"/>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Mon</v>
      </c>
      <c r="B12" s="15">
        <v>41281</v>
      </c>
      <c r="C12" s="16">
        <v>0.20833333333333334</v>
      </c>
      <c r="D12" s="6">
        <v>17.5</v>
      </c>
      <c r="E12" s="6">
        <v>93.9</v>
      </c>
      <c r="F12" s="6">
        <v>168</v>
      </c>
      <c r="G12" s="6">
        <v>5</v>
      </c>
      <c r="H12" s="6">
        <v>9.6999999999999993</v>
      </c>
      <c r="I12" s="6">
        <v>10</v>
      </c>
      <c r="J12" s="6">
        <v>10</v>
      </c>
      <c r="K12" s="6">
        <v>110</v>
      </c>
      <c r="L12" s="405"/>
      <c r="M12" s="84">
        <f t="shared" si="0"/>
        <v>168</v>
      </c>
      <c r="N12" s="248">
        <f>RHcount!X6</f>
        <v>0</v>
      </c>
      <c r="O12" s="225">
        <f>HOUR(C12)+MINUTE(C12)/60+12</f>
        <v>17</v>
      </c>
      <c r="P12" s="225">
        <f>IF(AND(O12&gt;20,O12&lt;30),20,O12)</f>
        <v>17</v>
      </c>
      <c r="Q12" s="17">
        <f t="shared" ref="Q12:Q21" si="1">IF(AND(O12&gt;20,O12&lt;30),0,MAX(0,E12-70))</f>
        <v>23.900000000000006</v>
      </c>
      <c r="S12" s="17"/>
      <c r="U12" s="5" t="s">
        <v>102</v>
      </c>
      <c r="V12" s="83">
        <v>67.5</v>
      </c>
    </row>
    <row r="13" spans="1:22" x14ac:dyDescent="0.25">
      <c r="A13" s="318" t="str">
        <f>TEXT(B13,"ddd")</f>
        <v>Mon</v>
      </c>
      <c r="B13" s="15">
        <v>41281</v>
      </c>
      <c r="C13" s="16">
        <v>0.25</v>
      </c>
      <c r="D13" s="6">
        <v>17.5</v>
      </c>
      <c r="E13" s="6">
        <v>94.5</v>
      </c>
      <c r="F13" s="6">
        <v>166</v>
      </c>
      <c r="G13" s="6">
        <v>3</v>
      </c>
      <c r="H13" s="6">
        <v>9.6999999999999993</v>
      </c>
      <c r="I13" s="6">
        <v>10</v>
      </c>
      <c r="J13" s="6">
        <v>10</v>
      </c>
      <c r="K13" s="6">
        <v>110</v>
      </c>
      <c r="L13" s="405"/>
      <c r="M13" s="84">
        <f t="shared" si="0"/>
        <v>166</v>
      </c>
      <c r="N13" s="248">
        <f>RHcount!X7</f>
        <v>0</v>
      </c>
      <c r="O13" s="225">
        <f t="shared" ref="O13:O21" si="2">HOUR(C13)+MINUTE(C13)/60+12</f>
        <v>18</v>
      </c>
      <c r="P13" s="225">
        <f>IF(AND(O13&gt;20,O13&lt;30),20,O13)</f>
        <v>18</v>
      </c>
      <c r="Q13" s="17">
        <f t="shared" si="1"/>
        <v>24.5</v>
      </c>
      <c r="R13">
        <f>IF(P13&gt;0,ABS((P13-P12)/2+(P14-P13)/2),0)</f>
        <v>1</v>
      </c>
      <c r="S13" s="17">
        <f t="shared" ref="S13:S21" si="3">IF(OR(O13&gt;30,O13&lt;20),Q13+S12,0)</f>
        <v>24.5</v>
      </c>
      <c r="T13">
        <f t="shared" ref="T13:T21" si="4">S13*R13</f>
        <v>24.5</v>
      </c>
      <c r="U13" s="5" t="s">
        <v>104</v>
      </c>
      <c r="V13" s="83">
        <v>112.5</v>
      </c>
    </row>
    <row r="14" spans="1:22" x14ac:dyDescent="0.25">
      <c r="A14" s="318" t="str">
        <f t="shared" ref="A14:A77" si="5">TEXT(B14,"ddd")</f>
        <v>Mon</v>
      </c>
      <c r="B14" s="15">
        <v>41281</v>
      </c>
      <c r="C14" s="16">
        <v>0.29166666666666669</v>
      </c>
      <c r="D14" s="6">
        <v>17.7</v>
      </c>
      <c r="E14" s="6">
        <v>92.7</v>
      </c>
      <c r="F14" s="6">
        <v>162</v>
      </c>
      <c r="G14" s="6">
        <v>2</v>
      </c>
      <c r="H14" s="6">
        <v>9.6999999999999993</v>
      </c>
      <c r="I14" s="6">
        <v>10</v>
      </c>
      <c r="J14" s="6">
        <v>10</v>
      </c>
      <c r="K14" s="6">
        <v>110</v>
      </c>
      <c r="L14" s="405"/>
      <c r="M14" s="84">
        <f t="shared" si="0"/>
        <v>162</v>
      </c>
      <c r="N14" s="248">
        <f>RHcount!X8</f>
        <v>0</v>
      </c>
      <c r="O14" s="225">
        <f t="shared" si="2"/>
        <v>19</v>
      </c>
      <c r="P14" s="225">
        <f t="shared" ref="P14:P21" si="6">IF(AND(O14&gt;20,O14&lt;30),20,O14)</f>
        <v>19</v>
      </c>
      <c r="Q14" s="17">
        <f t="shared" si="1"/>
        <v>22.700000000000003</v>
      </c>
      <c r="R14">
        <f t="shared" ref="R14:R21" si="7">IF(P14&gt;0,ABS((P14-P13)/2+(P15-P14)/2),0)</f>
        <v>1</v>
      </c>
      <c r="S14" s="17">
        <f t="shared" si="3"/>
        <v>47.2</v>
      </c>
      <c r="T14">
        <f t="shared" si="4"/>
        <v>47.2</v>
      </c>
      <c r="U14" s="5" t="s">
        <v>112</v>
      </c>
      <c r="V14" s="83">
        <v>360</v>
      </c>
    </row>
    <row r="15" spans="1:22" x14ac:dyDescent="0.25">
      <c r="A15" s="318" t="str">
        <f t="shared" si="5"/>
        <v>Mon</v>
      </c>
      <c r="B15" s="15">
        <v>41281</v>
      </c>
      <c r="C15" s="16">
        <v>0.33333333333333331</v>
      </c>
      <c r="D15" s="6">
        <v>18.399999999999999</v>
      </c>
      <c r="E15" s="6">
        <v>87</v>
      </c>
      <c r="F15" s="6">
        <v>160</v>
      </c>
      <c r="G15" s="6">
        <v>2</v>
      </c>
      <c r="H15" s="6">
        <v>9.6999999999999993</v>
      </c>
      <c r="I15" s="6">
        <v>10</v>
      </c>
      <c r="J15" s="6">
        <v>2</v>
      </c>
      <c r="K15" s="6">
        <v>70</v>
      </c>
      <c r="L15" s="405"/>
      <c r="M15" s="84">
        <f t="shared" si="0"/>
        <v>160</v>
      </c>
      <c r="N15" s="248">
        <f>RHcount!X9</f>
        <v>67.649999999999991</v>
      </c>
      <c r="O15" s="225">
        <f t="shared" si="2"/>
        <v>20</v>
      </c>
      <c r="P15" s="225">
        <f t="shared" si="6"/>
        <v>20</v>
      </c>
      <c r="Q15" s="17">
        <f t="shared" si="1"/>
        <v>17</v>
      </c>
      <c r="R15">
        <f t="shared" si="7"/>
        <v>0.5</v>
      </c>
      <c r="S15" s="17">
        <f t="shared" si="3"/>
        <v>0</v>
      </c>
      <c r="T15">
        <f t="shared" si="4"/>
        <v>0</v>
      </c>
      <c r="U15" s="5" t="s">
        <v>101</v>
      </c>
      <c r="V15" s="83">
        <v>45</v>
      </c>
    </row>
    <row r="16" spans="1:22" x14ac:dyDescent="0.25">
      <c r="A16" s="318" t="str">
        <f t="shared" si="5"/>
        <v>Mon</v>
      </c>
      <c r="B16" s="15">
        <v>41281</v>
      </c>
      <c r="C16" s="16">
        <v>0.375</v>
      </c>
      <c r="D16" s="6">
        <v>19.8</v>
      </c>
      <c r="E16" s="6">
        <v>78.3</v>
      </c>
      <c r="F16" s="6">
        <v>123</v>
      </c>
      <c r="G16" s="6">
        <v>4</v>
      </c>
      <c r="H16" s="6">
        <v>9.6999999999999993</v>
      </c>
      <c r="I16" s="6">
        <v>30</v>
      </c>
      <c r="J16" s="6">
        <v>3</v>
      </c>
      <c r="K16" s="6">
        <v>50</v>
      </c>
      <c r="L16" s="405"/>
      <c r="M16" s="84">
        <f t="shared" si="0"/>
        <v>123</v>
      </c>
      <c r="N16" s="248">
        <f>RHcount!X10</f>
        <v>67.649999999999991</v>
      </c>
      <c r="O16" s="225">
        <f t="shared" si="2"/>
        <v>21</v>
      </c>
      <c r="P16" s="225">
        <f t="shared" si="6"/>
        <v>20</v>
      </c>
      <c r="Q16" s="17">
        <f t="shared" si="1"/>
        <v>0</v>
      </c>
      <c r="R16">
        <f t="shared" si="7"/>
        <v>0</v>
      </c>
      <c r="S16" s="17">
        <f t="shared" si="3"/>
        <v>0</v>
      </c>
      <c r="T16">
        <f>S16*R16</f>
        <v>0</v>
      </c>
      <c r="U16" s="5" t="s">
        <v>100</v>
      </c>
      <c r="V16" s="83">
        <v>22.5</v>
      </c>
    </row>
    <row r="17" spans="1:22" x14ac:dyDescent="0.25">
      <c r="A17" s="318" t="str">
        <f t="shared" si="5"/>
        <v>Mon</v>
      </c>
      <c r="B17" s="15">
        <v>41281</v>
      </c>
      <c r="C17" s="16">
        <v>0.41666666666666669</v>
      </c>
      <c r="D17" s="6">
        <v>21.7</v>
      </c>
      <c r="E17" s="6">
        <v>69.599999999999994</v>
      </c>
      <c r="F17" s="6">
        <v>51</v>
      </c>
      <c r="G17" s="6">
        <v>6</v>
      </c>
      <c r="H17" s="6">
        <v>9.6999999999999993</v>
      </c>
      <c r="I17" s="6"/>
      <c r="J17" s="6"/>
      <c r="K17" s="6"/>
      <c r="L17" s="20"/>
      <c r="M17" s="84">
        <f t="shared" si="0"/>
        <v>51</v>
      </c>
      <c r="N17" s="248">
        <f>RHcount!X11</f>
        <v>67.649999999999991</v>
      </c>
      <c r="O17" s="225">
        <f t="shared" si="2"/>
        <v>22</v>
      </c>
      <c r="P17" s="225">
        <f t="shared" si="6"/>
        <v>20</v>
      </c>
      <c r="Q17" s="17">
        <f t="shared" si="1"/>
        <v>0</v>
      </c>
      <c r="R17">
        <f t="shared" si="7"/>
        <v>0</v>
      </c>
      <c r="S17" s="17">
        <f t="shared" si="3"/>
        <v>0</v>
      </c>
      <c r="T17">
        <f t="shared" si="4"/>
        <v>0</v>
      </c>
      <c r="U17" s="5" t="s">
        <v>111</v>
      </c>
      <c r="V17" s="83">
        <v>337.5</v>
      </c>
    </row>
    <row r="18" spans="1:22" x14ac:dyDescent="0.25">
      <c r="A18" s="318" t="str">
        <f t="shared" si="5"/>
        <v>Mon</v>
      </c>
      <c r="B18" s="15">
        <v>41281</v>
      </c>
      <c r="C18" s="16">
        <v>0.45833333333333331</v>
      </c>
      <c r="D18" s="6">
        <v>23.6</v>
      </c>
      <c r="E18" s="6">
        <v>62.1</v>
      </c>
      <c r="F18" s="6">
        <v>14</v>
      </c>
      <c r="G18" s="6">
        <v>9</v>
      </c>
      <c r="H18" s="6">
        <v>9.6999999999999993</v>
      </c>
      <c r="I18" s="6"/>
      <c r="J18" s="6"/>
      <c r="K18" s="6"/>
      <c r="L18" s="20"/>
      <c r="M18" s="84">
        <f t="shared" si="0"/>
        <v>14</v>
      </c>
      <c r="N18" s="248">
        <f>RHcount!X12</f>
        <v>67.649999999999991</v>
      </c>
      <c r="O18" s="225">
        <f t="shared" si="2"/>
        <v>23</v>
      </c>
      <c r="P18" s="225">
        <f t="shared" si="6"/>
        <v>20</v>
      </c>
      <c r="Q18" s="17">
        <f t="shared" si="1"/>
        <v>0</v>
      </c>
      <c r="R18">
        <f t="shared" si="7"/>
        <v>0</v>
      </c>
      <c r="S18" s="17">
        <f t="shared" si="3"/>
        <v>0</v>
      </c>
      <c r="T18">
        <f t="shared" si="4"/>
        <v>0</v>
      </c>
      <c r="U18" s="5" t="s">
        <v>23</v>
      </c>
      <c r="V18" s="83">
        <v>315</v>
      </c>
    </row>
    <row r="19" spans="1:22" x14ac:dyDescent="0.25">
      <c r="A19" s="318" t="str">
        <f t="shared" si="5"/>
        <v>Mon</v>
      </c>
      <c r="B19" s="15">
        <v>41281</v>
      </c>
      <c r="C19" s="16">
        <v>0.5</v>
      </c>
      <c r="D19" s="6">
        <v>25.7</v>
      </c>
      <c r="E19" s="6">
        <v>55.1</v>
      </c>
      <c r="F19" s="6">
        <v>23</v>
      </c>
      <c r="G19" s="6">
        <v>11</v>
      </c>
      <c r="H19" s="6">
        <v>9.6999999999999993</v>
      </c>
      <c r="I19" s="6"/>
      <c r="J19" s="6"/>
      <c r="K19" s="6"/>
      <c r="L19" s="20"/>
      <c r="M19" s="84">
        <f t="shared" si="0"/>
        <v>23</v>
      </c>
      <c r="N19" s="248">
        <f>RHcount!X13</f>
        <v>67.649999999999991</v>
      </c>
      <c r="O19" s="225">
        <f t="shared" si="2"/>
        <v>24</v>
      </c>
      <c r="P19" s="225">
        <f t="shared" si="6"/>
        <v>20</v>
      </c>
      <c r="Q19" s="17">
        <f t="shared" si="1"/>
        <v>0</v>
      </c>
      <c r="R19">
        <f t="shared" si="7"/>
        <v>0</v>
      </c>
      <c r="S19" s="17">
        <f t="shared" si="3"/>
        <v>0</v>
      </c>
      <c r="T19">
        <f t="shared" si="4"/>
        <v>0</v>
      </c>
      <c r="U19" s="5" t="s">
        <v>106</v>
      </c>
      <c r="V19" s="83">
        <v>180</v>
      </c>
    </row>
    <row r="20" spans="1:22" x14ac:dyDescent="0.25">
      <c r="A20" s="318" t="str">
        <f t="shared" si="5"/>
        <v>Mon</v>
      </c>
      <c r="B20" s="15">
        <v>41281</v>
      </c>
      <c r="C20" s="16">
        <v>0.54166666666666663</v>
      </c>
      <c r="D20" s="6">
        <v>27.8</v>
      </c>
      <c r="E20" s="6">
        <v>48.7</v>
      </c>
      <c r="F20" s="6">
        <v>39</v>
      </c>
      <c r="G20" s="6">
        <v>13</v>
      </c>
      <c r="H20" s="6">
        <v>9.6999999999999993</v>
      </c>
      <c r="I20" s="6"/>
      <c r="J20" s="6"/>
      <c r="K20" s="6"/>
      <c r="L20" s="20"/>
      <c r="M20" s="84">
        <f t="shared" si="0"/>
        <v>39</v>
      </c>
      <c r="N20" s="248">
        <f>RHcount!X14</f>
        <v>67.649999999999991</v>
      </c>
      <c r="O20" s="225">
        <f t="shared" si="2"/>
        <v>25</v>
      </c>
      <c r="P20" s="225">
        <f t="shared" si="6"/>
        <v>20</v>
      </c>
      <c r="Q20" s="17">
        <f t="shared" si="1"/>
        <v>0</v>
      </c>
      <c r="R20">
        <f t="shared" si="7"/>
        <v>0</v>
      </c>
      <c r="S20" s="17">
        <f t="shared" si="3"/>
        <v>0</v>
      </c>
      <c r="T20">
        <f t="shared" si="4"/>
        <v>0</v>
      </c>
      <c r="U20" s="5" t="s">
        <v>22</v>
      </c>
      <c r="V20" s="83">
        <v>135</v>
      </c>
    </row>
    <row r="21" spans="1:22" x14ac:dyDescent="0.25">
      <c r="A21" s="318" t="str">
        <f t="shared" si="5"/>
        <v>Mon</v>
      </c>
      <c r="B21" s="15">
        <v>41281</v>
      </c>
      <c r="C21" s="16">
        <v>0.58333333333333337</v>
      </c>
      <c r="D21" s="6">
        <v>29.4</v>
      </c>
      <c r="E21" s="6">
        <v>44.1</v>
      </c>
      <c r="F21" s="6">
        <v>47</v>
      </c>
      <c r="G21" s="6">
        <v>15</v>
      </c>
      <c r="H21" s="6">
        <v>9.6999999999999993</v>
      </c>
      <c r="I21" s="6"/>
      <c r="J21" s="6"/>
      <c r="K21" s="6"/>
      <c r="L21" s="20"/>
      <c r="M21" s="84">
        <f t="shared" si="0"/>
        <v>47</v>
      </c>
      <c r="N21" s="248">
        <f>RHcount!X15</f>
        <v>67.649999999999991</v>
      </c>
      <c r="O21" s="225">
        <f t="shared" si="2"/>
        <v>26</v>
      </c>
      <c r="P21" s="225">
        <f t="shared" si="6"/>
        <v>20</v>
      </c>
      <c r="Q21" s="17">
        <f t="shared" si="1"/>
        <v>0</v>
      </c>
      <c r="R21">
        <f t="shared" si="7"/>
        <v>10</v>
      </c>
      <c r="S21" s="17">
        <f t="shared" si="3"/>
        <v>0</v>
      </c>
      <c r="T21">
        <f t="shared" si="4"/>
        <v>0</v>
      </c>
      <c r="U21" s="5" t="s">
        <v>105</v>
      </c>
      <c r="V21" s="83">
        <v>157.5</v>
      </c>
    </row>
    <row r="22" spans="1:22" x14ac:dyDescent="0.25">
      <c r="A22" s="318" t="str">
        <f t="shared" si="5"/>
        <v>Mon</v>
      </c>
      <c r="B22" s="15">
        <v>41281</v>
      </c>
      <c r="C22" s="16">
        <v>0.625</v>
      </c>
      <c r="D22" s="6">
        <v>29.2</v>
      </c>
      <c r="E22" s="6">
        <v>44.4</v>
      </c>
      <c r="F22" s="6">
        <v>52</v>
      </c>
      <c r="G22" s="6">
        <v>16</v>
      </c>
      <c r="H22" s="6">
        <v>9.6999999999999993</v>
      </c>
      <c r="I22" s="6"/>
      <c r="J22" s="6"/>
      <c r="K22" s="6"/>
      <c r="L22" s="20"/>
      <c r="M22" s="84">
        <f t="shared" si="0"/>
        <v>52</v>
      </c>
      <c r="N22" s="248">
        <f>RHcount!X16</f>
        <v>67.649999999999991</v>
      </c>
      <c r="O22" s="17"/>
      <c r="P22" s="17"/>
      <c r="Q22" s="17"/>
      <c r="R22" s="17"/>
      <c r="U22" s="5" t="s">
        <v>107</v>
      </c>
      <c r="V22" s="83">
        <v>202.5</v>
      </c>
    </row>
    <row r="23" spans="1:22" x14ac:dyDescent="0.25">
      <c r="A23" s="318" t="str">
        <f t="shared" si="5"/>
        <v>Mon</v>
      </c>
      <c r="B23" s="15">
        <v>41281</v>
      </c>
      <c r="C23" s="16">
        <v>0.66666666666666663</v>
      </c>
      <c r="D23" s="6">
        <v>28.2</v>
      </c>
      <c r="E23" s="6">
        <v>48.2</v>
      </c>
      <c r="F23" s="6">
        <v>63</v>
      </c>
      <c r="G23" s="6">
        <v>17</v>
      </c>
      <c r="H23" s="6">
        <v>9.6999999999999993</v>
      </c>
      <c r="I23" s="6"/>
      <c r="J23" s="6"/>
      <c r="K23" s="6"/>
      <c r="L23" s="20"/>
      <c r="M23" s="84">
        <f t="shared" si="0"/>
        <v>63</v>
      </c>
      <c r="N23" s="248">
        <f>RHcount!X17</f>
        <v>67.649999999999991</v>
      </c>
      <c r="O23" s="17"/>
      <c r="P23" s="17"/>
      <c r="Q23" s="17"/>
      <c r="R23" s="17"/>
      <c r="U23" s="5" t="s">
        <v>95</v>
      </c>
      <c r="V23" s="83">
        <v>225</v>
      </c>
    </row>
    <row r="24" spans="1:22" x14ac:dyDescent="0.25">
      <c r="A24" s="318" t="str">
        <f t="shared" si="5"/>
        <v>Mon</v>
      </c>
      <c r="B24" s="15">
        <v>41281</v>
      </c>
      <c r="C24" s="16">
        <v>0.70833333333333337</v>
      </c>
      <c r="D24" s="6">
        <v>27</v>
      </c>
      <c r="E24" s="6">
        <v>54.7</v>
      </c>
      <c r="F24" s="6">
        <v>69</v>
      </c>
      <c r="G24" s="6">
        <v>17</v>
      </c>
      <c r="H24" s="6">
        <v>9.6999999999999993</v>
      </c>
      <c r="I24" s="6"/>
      <c r="J24" s="6"/>
      <c r="K24" s="6"/>
      <c r="L24" s="20"/>
      <c r="M24" s="84">
        <f t="shared" si="0"/>
        <v>69</v>
      </c>
      <c r="N24" s="248">
        <f>RHcount!X18</f>
        <v>67.649999999999991</v>
      </c>
      <c r="O24" s="17"/>
      <c r="P24" s="17"/>
      <c r="Q24" s="17"/>
      <c r="R24" s="17"/>
      <c r="U24" s="5" t="s">
        <v>109</v>
      </c>
      <c r="V24" s="83">
        <v>270</v>
      </c>
    </row>
    <row r="25" spans="1:22" x14ac:dyDescent="0.25">
      <c r="A25" s="318" t="str">
        <f t="shared" si="5"/>
        <v>Mon</v>
      </c>
      <c r="B25" s="15">
        <v>41281</v>
      </c>
      <c r="C25" s="16">
        <v>0.75</v>
      </c>
      <c r="D25" s="6">
        <v>25.4</v>
      </c>
      <c r="E25" s="6">
        <v>61.7</v>
      </c>
      <c r="F25" s="6">
        <v>66</v>
      </c>
      <c r="G25" s="6">
        <v>17</v>
      </c>
      <c r="H25" s="6">
        <v>9.6999999999999993</v>
      </c>
      <c r="I25" s="6"/>
      <c r="J25" s="6"/>
      <c r="K25" s="6"/>
      <c r="L25" s="20"/>
      <c r="M25" s="84">
        <f t="shared" si="0"/>
        <v>66</v>
      </c>
      <c r="N25" s="248">
        <f>RHcount!X19</f>
        <v>67.649999999999991</v>
      </c>
      <c r="O25" s="17"/>
      <c r="P25" s="17"/>
      <c r="Q25" s="17"/>
      <c r="R25" s="17"/>
      <c r="U25" s="5" t="s">
        <v>110</v>
      </c>
      <c r="V25" s="83">
        <v>292.5</v>
      </c>
    </row>
    <row r="26" spans="1:22" x14ac:dyDescent="0.25">
      <c r="A26" s="318" t="str">
        <f t="shared" si="5"/>
        <v>Mon</v>
      </c>
      <c r="B26" s="15">
        <v>41281</v>
      </c>
      <c r="C26" s="16">
        <v>0.79166666666666663</v>
      </c>
      <c r="D26" s="6">
        <v>23.5</v>
      </c>
      <c r="E26" s="6">
        <v>69.5</v>
      </c>
      <c r="F26" s="6">
        <v>60</v>
      </c>
      <c r="G26" s="6">
        <v>16</v>
      </c>
      <c r="H26" s="6">
        <v>9.6999999999999993</v>
      </c>
      <c r="I26" s="6"/>
      <c r="J26" s="6"/>
      <c r="K26" s="6"/>
      <c r="L26" s="20"/>
      <c r="M26" s="84">
        <f t="shared" si="0"/>
        <v>60</v>
      </c>
      <c r="N26" s="248">
        <f>RHcount!X20</f>
        <v>67.649999999999991</v>
      </c>
      <c r="O26" s="17"/>
      <c r="P26" s="17"/>
      <c r="Q26" s="17"/>
      <c r="R26" s="17"/>
      <c r="U26" s="5" t="s">
        <v>108</v>
      </c>
      <c r="V26" s="83">
        <v>247.5</v>
      </c>
    </row>
    <row r="27" spans="1:22" x14ac:dyDescent="0.25">
      <c r="A27" s="318" t="str">
        <f t="shared" si="5"/>
        <v>Mon</v>
      </c>
      <c r="B27" s="15">
        <v>41281</v>
      </c>
      <c r="C27" s="16">
        <v>0.83333333333333337</v>
      </c>
      <c r="D27" s="6">
        <v>21.3</v>
      </c>
      <c r="E27" s="6">
        <v>80</v>
      </c>
      <c r="F27" s="6">
        <v>57</v>
      </c>
      <c r="G27" s="6">
        <v>14</v>
      </c>
      <c r="H27" s="6">
        <v>9.6999999999999993</v>
      </c>
      <c r="I27" s="6"/>
      <c r="J27" s="6"/>
      <c r="K27" s="6"/>
      <c r="L27" s="20"/>
      <c r="M27" s="84">
        <f t="shared" si="0"/>
        <v>57</v>
      </c>
      <c r="N27" s="248">
        <f>RHcount!X21</f>
        <v>67.649999999999991</v>
      </c>
      <c r="O27" s="17"/>
      <c r="P27" s="17"/>
      <c r="Q27" s="17"/>
      <c r="R27" s="17"/>
      <c r="S27" s="17"/>
      <c r="T27" s="17"/>
      <c r="U27" s="4"/>
      <c r="V27" s="4"/>
    </row>
    <row r="28" spans="1:22" x14ac:dyDescent="0.25">
      <c r="A28" s="318" t="str">
        <f t="shared" si="5"/>
        <v>Mon</v>
      </c>
      <c r="B28" s="15">
        <v>41281</v>
      </c>
      <c r="C28" s="16">
        <v>0.875</v>
      </c>
      <c r="D28" s="6">
        <v>20.100000000000001</v>
      </c>
      <c r="E28" s="6">
        <v>86.1</v>
      </c>
      <c r="F28" s="6">
        <v>40</v>
      </c>
      <c r="G28" s="6">
        <v>12</v>
      </c>
      <c r="H28" s="6">
        <v>9.6999999999999993</v>
      </c>
      <c r="I28" s="6"/>
      <c r="J28" s="6"/>
      <c r="K28" s="6"/>
      <c r="L28" s="20"/>
      <c r="M28" s="84">
        <f t="shared" si="0"/>
        <v>40</v>
      </c>
      <c r="N28" s="248">
        <f>RHcount!X22</f>
        <v>67.649999999999991</v>
      </c>
      <c r="O28" s="17"/>
      <c r="P28" s="17"/>
      <c r="Q28" s="17"/>
      <c r="R28" s="17"/>
      <c r="S28" s="17"/>
      <c r="T28" s="17"/>
      <c r="U28" s="4"/>
      <c r="V28" s="4"/>
    </row>
    <row r="29" spans="1:22" x14ac:dyDescent="0.25">
      <c r="A29" s="318" t="str">
        <f t="shared" si="5"/>
        <v>Mon</v>
      </c>
      <c r="B29" s="15">
        <v>41281</v>
      </c>
      <c r="C29" s="16">
        <v>0.91666666666666663</v>
      </c>
      <c r="D29" s="6">
        <v>19.899999999999999</v>
      </c>
      <c r="E29" s="6">
        <v>86.6</v>
      </c>
      <c r="F29" s="6">
        <v>7</v>
      </c>
      <c r="G29" s="6">
        <v>10</v>
      </c>
      <c r="H29" s="6">
        <v>9.6999999999999993</v>
      </c>
      <c r="I29" s="6"/>
      <c r="J29" s="6"/>
      <c r="K29" s="6"/>
      <c r="L29" s="20"/>
      <c r="M29" s="84">
        <f t="shared" si="0"/>
        <v>7</v>
      </c>
      <c r="N29" s="248">
        <f>RHcount!X23</f>
        <v>67.649999999999991</v>
      </c>
      <c r="O29" s="17"/>
      <c r="P29" s="17"/>
      <c r="Q29" s="17"/>
      <c r="R29" s="17"/>
      <c r="S29" s="17"/>
      <c r="T29" s="17"/>
      <c r="U29" s="4"/>
      <c r="V29" s="4"/>
    </row>
    <row r="30" spans="1:22" x14ac:dyDescent="0.25">
      <c r="A30" s="318" t="str">
        <f t="shared" si="5"/>
        <v>Mon</v>
      </c>
      <c r="B30" s="15">
        <v>41281</v>
      </c>
      <c r="C30" s="16">
        <v>0.95833333333333337</v>
      </c>
      <c r="D30" s="6">
        <v>20</v>
      </c>
      <c r="E30" s="6">
        <v>85.6</v>
      </c>
      <c r="F30" s="6">
        <v>350</v>
      </c>
      <c r="G30" s="6">
        <v>8</v>
      </c>
      <c r="H30" s="6">
        <v>9.6999999999999993</v>
      </c>
      <c r="I30" s="6"/>
      <c r="J30" s="6"/>
      <c r="K30" s="6"/>
      <c r="L30" s="20"/>
      <c r="M30" s="84">
        <f t="shared" si="0"/>
        <v>350</v>
      </c>
      <c r="N30" s="248">
        <f>RHcount!X24</f>
        <v>67.649999999999991</v>
      </c>
      <c r="O30" s="17"/>
      <c r="P30" s="17"/>
      <c r="Q30" s="17"/>
      <c r="R30" s="17"/>
      <c r="S30" s="17"/>
      <c r="T30" s="17"/>
      <c r="U30" s="4"/>
      <c r="V30" s="4"/>
    </row>
    <row r="31" spans="1:22" x14ac:dyDescent="0.25">
      <c r="A31" s="318" t="str">
        <f t="shared" si="5"/>
        <v>Tue</v>
      </c>
      <c r="B31" s="15">
        <v>41282</v>
      </c>
      <c r="C31" s="16">
        <v>0</v>
      </c>
      <c r="D31" s="6">
        <v>20.3</v>
      </c>
      <c r="E31" s="6">
        <v>81.900000000000006</v>
      </c>
      <c r="F31" s="6">
        <v>345</v>
      </c>
      <c r="G31" s="6">
        <v>7</v>
      </c>
      <c r="H31" s="6">
        <v>9.6999999999999993</v>
      </c>
      <c r="I31" s="6"/>
      <c r="J31" s="6"/>
      <c r="K31" s="6"/>
      <c r="L31" s="20"/>
      <c r="M31" s="84">
        <f t="shared" si="0"/>
        <v>345</v>
      </c>
      <c r="N31" s="248">
        <f>RHcount!X25</f>
        <v>67.649999999999991</v>
      </c>
      <c r="O31" s="17"/>
      <c r="P31" s="17"/>
      <c r="Q31" s="17"/>
      <c r="R31" s="17"/>
      <c r="S31" s="17"/>
      <c r="T31" s="17"/>
      <c r="U31" s="4"/>
      <c r="V31" s="4"/>
    </row>
    <row r="32" spans="1:22" x14ac:dyDescent="0.25">
      <c r="A32" s="318" t="str">
        <f t="shared" si="5"/>
        <v>Tue</v>
      </c>
      <c r="B32" s="15">
        <v>41282</v>
      </c>
      <c r="C32" s="16">
        <v>4.1666666666666664E-2</v>
      </c>
      <c r="D32" s="6">
        <v>20.7</v>
      </c>
      <c r="E32" s="6">
        <v>77.400000000000006</v>
      </c>
      <c r="F32" s="6">
        <v>333</v>
      </c>
      <c r="G32" s="6">
        <v>8</v>
      </c>
      <c r="H32" s="6">
        <v>9.6999999999999993</v>
      </c>
      <c r="I32" s="6"/>
      <c r="J32" s="6"/>
      <c r="K32" s="6"/>
      <c r="L32" s="20"/>
      <c r="M32" s="84">
        <f t="shared" si="0"/>
        <v>333</v>
      </c>
      <c r="N32" s="248">
        <f>RHcount!X26</f>
        <v>67.649999999999991</v>
      </c>
      <c r="O32" s="17"/>
      <c r="P32" s="17"/>
      <c r="Q32" s="17"/>
      <c r="R32" s="17"/>
      <c r="S32" s="17"/>
      <c r="T32" s="17"/>
      <c r="U32" s="4"/>
      <c r="V32" s="4"/>
    </row>
    <row r="33" spans="1:22" x14ac:dyDescent="0.25">
      <c r="A33" s="318" t="str">
        <f t="shared" si="5"/>
        <v>Tue</v>
      </c>
      <c r="B33" s="15">
        <v>41282</v>
      </c>
      <c r="C33" s="16">
        <v>8.3333333333333329E-2</v>
      </c>
      <c r="D33" s="6">
        <v>21.6</v>
      </c>
      <c r="E33" s="6">
        <v>70.099999999999994</v>
      </c>
      <c r="F33" s="6">
        <v>327</v>
      </c>
      <c r="G33" s="6">
        <v>9</v>
      </c>
      <c r="H33" s="6">
        <v>9.6999999999999993</v>
      </c>
      <c r="I33" s="6"/>
      <c r="J33" s="6"/>
      <c r="K33" s="6"/>
      <c r="L33" s="20"/>
      <c r="M33" s="84">
        <f t="shared" si="0"/>
        <v>327</v>
      </c>
      <c r="N33" s="248">
        <f>RHcount!X27</f>
        <v>67.649999999999991</v>
      </c>
      <c r="O33" s="17"/>
      <c r="P33" s="17"/>
      <c r="Q33" s="17"/>
      <c r="R33" s="17"/>
      <c r="S33" s="17"/>
      <c r="T33" s="17"/>
      <c r="U33" s="4"/>
      <c r="V33" s="4"/>
    </row>
    <row r="34" spans="1:22" x14ac:dyDescent="0.25">
      <c r="A34" s="318" t="str">
        <f t="shared" si="5"/>
        <v>Tue</v>
      </c>
      <c r="B34" s="15">
        <v>41282</v>
      </c>
      <c r="C34" s="16">
        <v>0.125</v>
      </c>
      <c r="D34" s="6">
        <v>23.1</v>
      </c>
      <c r="E34" s="6">
        <v>60</v>
      </c>
      <c r="F34" s="6">
        <v>319</v>
      </c>
      <c r="G34" s="6">
        <v>10</v>
      </c>
      <c r="H34" s="6">
        <v>9.6999999999999993</v>
      </c>
      <c r="I34" s="6"/>
      <c r="J34" s="6"/>
      <c r="K34" s="6"/>
      <c r="L34" s="20"/>
      <c r="M34" s="84">
        <f t="shared" si="0"/>
        <v>319</v>
      </c>
      <c r="N34" s="248">
        <f>RHcount!X28</f>
        <v>67.649999999999991</v>
      </c>
      <c r="O34" s="17"/>
      <c r="P34" s="17"/>
      <c r="Q34" s="17"/>
      <c r="R34" s="17"/>
      <c r="S34" s="17"/>
      <c r="T34" s="17"/>
      <c r="U34" s="4"/>
      <c r="V34" s="4"/>
    </row>
    <row r="35" spans="1:22" x14ac:dyDescent="0.25">
      <c r="A35" s="318" t="str">
        <f t="shared" si="5"/>
        <v>Tue</v>
      </c>
      <c r="B35" s="15">
        <v>41282</v>
      </c>
      <c r="C35" s="16">
        <v>0.16666666666666666</v>
      </c>
      <c r="D35" s="6">
        <v>24.7</v>
      </c>
      <c r="E35" s="6">
        <v>51.1</v>
      </c>
      <c r="F35" s="6">
        <v>312</v>
      </c>
      <c r="G35" s="6">
        <v>11</v>
      </c>
      <c r="H35" s="6">
        <v>9.6999999999999993</v>
      </c>
      <c r="I35" s="6"/>
      <c r="J35" s="6"/>
      <c r="K35" s="6"/>
      <c r="L35" s="20"/>
      <c r="M35" s="84">
        <f t="shared" si="0"/>
        <v>312</v>
      </c>
      <c r="N35" s="248">
        <f>RHcount!X29</f>
        <v>67.649999999999991</v>
      </c>
      <c r="O35" s="17"/>
      <c r="P35" s="17"/>
      <c r="Q35" s="17"/>
      <c r="R35" s="17"/>
      <c r="S35" s="17"/>
      <c r="T35" s="17"/>
      <c r="U35" s="4"/>
      <c r="V35" s="4"/>
    </row>
    <row r="36" spans="1:22" x14ac:dyDescent="0.25">
      <c r="A36" s="318" t="str">
        <f t="shared" si="5"/>
        <v>Tue</v>
      </c>
      <c r="B36" s="15">
        <v>41282</v>
      </c>
      <c r="C36" s="16">
        <v>0.20833333333333334</v>
      </c>
      <c r="D36" s="6">
        <v>25.9</v>
      </c>
      <c r="E36" s="6">
        <v>44.9</v>
      </c>
      <c r="F36" s="6">
        <v>307</v>
      </c>
      <c r="G36" s="6">
        <v>12</v>
      </c>
      <c r="H36" s="6">
        <v>9.6999999999999993</v>
      </c>
      <c r="I36" s="6"/>
      <c r="J36" s="6"/>
      <c r="K36" s="6"/>
      <c r="L36" s="20"/>
      <c r="M36" s="84">
        <f t="shared" si="0"/>
        <v>307</v>
      </c>
      <c r="N36" s="248">
        <f>RHcount!X30</f>
        <v>67.649999999999991</v>
      </c>
      <c r="O36" s="17"/>
      <c r="P36" s="17"/>
      <c r="Q36" s="17"/>
      <c r="R36" s="17"/>
      <c r="S36" s="17"/>
      <c r="T36" s="17"/>
      <c r="U36" s="4"/>
      <c r="V36" s="4"/>
    </row>
    <row r="37" spans="1:22" x14ac:dyDescent="0.25">
      <c r="A37" s="318" t="str">
        <f t="shared" si="5"/>
        <v>Tue</v>
      </c>
      <c r="B37" s="15">
        <v>41282</v>
      </c>
      <c r="C37" s="16">
        <v>0.25</v>
      </c>
      <c r="D37" s="6">
        <v>23.2</v>
      </c>
      <c r="E37" s="6">
        <v>52</v>
      </c>
      <c r="F37" s="6">
        <v>306</v>
      </c>
      <c r="G37" s="6">
        <v>13</v>
      </c>
      <c r="H37" s="6">
        <v>9.6999999999999993</v>
      </c>
      <c r="I37" s="6"/>
      <c r="J37" s="6"/>
      <c r="K37" s="6"/>
      <c r="L37" s="20"/>
      <c r="M37" s="84">
        <f t="shared" si="0"/>
        <v>306</v>
      </c>
      <c r="N37" s="248">
        <f>RHcount!X31</f>
        <v>67.649999999999991</v>
      </c>
      <c r="O37" s="17"/>
      <c r="P37" s="17"/>
      <c r="Q37" s="17"/>
      <c r="R37" s="17"/>
      <c r="S37" s="17"/>
      <c r="T37" s="17"/>
      <c r="U37" s="4"/>
      <c r="V37" s="4"/>
    </row>
    <row r="38" spans="1:22" x14ac:dyDescent="0.25">
      <c r="A38" s="318" t="str">
        <f t="shared" si="5"/>
        <v>Tue</v>
      </c>
      <c r="B38" s="15">
        <v>41282</v>
      </c>
      <c r="C38" s="16">
        <v>0.29166666666666669</v>
      </c>
      <c r="D38" s="6">
        <v>26.2</v>
      </c>
      <c r="E38" s="6">
        <v>43.2</v>
      </c>
      <c r="F38" s="6">
        <v>305</v>
      </c>
      <c r="G38" s="6">
        <v>14</v>
      </c>
      <c r="H38" s="6">
        <v>9.6999999999999993</v>
      </c>
      <c r="I38" s="6"/>
      <c r="J38" s="6"/>
      <c r="K38" s="6"/>
      <c r="L38" s="20"/>
      <c r="M38" s="84">
        <f t="shared" si="0"/>
        <v>305</v>
      </c>
      <c r="N38" s="248">
        <f>RHcount!X32</f>
        <v>67.649999999999991</v>
      </c>
      <c r="O38" s="17"/>
      <c r="P38" s="17"/>
      <c r="Q38" s="17"/>
      <c r="R38" s="17"/>
      <c r="S38" s="17"/>
      <c r="T38" s="17"/>
      <c r="U38" s="4"/>
      <c r="V38" s="4"/>
    </row>
    <row r="39" spans="1:22" x14ac:dyDescent="0.25">
      <c r="A39" s="318" t="str">
        <f t="shared" si="5"/>
        <v>Tue</v>
      </c>
      <c r="B39" s="15">
        <v>41282</v>
      </c>
      <c r="C39" s="16">
        <v>0.33333333333333331</v>
      </c>
      <c r="D39" s="6">
        <v>29.2</v>
      </c>
      <c r="E39" s="6">
        <v>34.700000000000003</v>
      </c>
      <c r="F39" s="6">
        <v>290</v>
      </c>
      <c r="G39" s="6">
        <v>39</v>
      </c>
      <c r="H39" s="6">
        <v>9.6999999999999993</v>
      </c>
      <c r="I39" s="6"/>
      <c r="J39" s="6"/>
      <c r="K39" s="6"/>
      <c r="L39" s="20"/>
      <c r="M39" s="84">
        <f t="shared" si="0"/>
        <v>290</v>
      </c>
      <c r="N39" s="248">
        <f>RHcount!X33</f>
        <v>77.399999999999991</v>
      </c>
      <c r="O39" s="17"/>
      <c r="P39" s="17"/>
      <c r="Q39" s="17"/>
      <c r="R39" s="17"/>
      <c r="S39" s="17"/>
      <c r="T39" s="17"/>
      <c r="U39" s="4"/>
      <c r="V39" s="4"/>
    </row>
    <row r="40" spans="1:22" x14ac:dyDescent="0.25">
      <c r="A40" s="318" t="str">
        <f t="shared" si="5"/>
        <v>Tue</v>
      </c>
      <c r="B40" s="15">
        <v>41282</v>
      </c>
      <c r="C40" s="16">
        <v>0.375</v>
      </c>
      <c r="D40" s="6">
        <v>32.4</v>
      </c>
      <c r="E40" s="6">
        <v>25.1</v>
      </c>
      <c r="F40" s="6">
        <v>291</v>
      </c>
      <c r="G40" s="6">
        <v>42</v>
      </c>
      <c r="H40" s="6">
        <v>9.6999999999999993</v>
      </c>
      <c r="I40" s="6"/>
      <c r="J40" s="6"/>
      <c r="K40" s="6"/>
      <c r="L40" s="20"/>
      <c r="M40" s="84">
        <f t="shared" si="0"/>
        <v>291</v>
      </c>
      <c r="N40" s="248">
        <f>RHcount!X34</f>
        <v>77.399999999999991</v>
      </c>
      <c r="O40" s="17"/>
      <c r="P40" s="17"/>
      <c r="Q40" s="17"/>
      <c r="R40" s="17"/>
      <c r="S40" s="17"/>
      <c r="T40" s="17"/>
      <c r="U40" s="4"/>
      <c r="V40" s="4"/>
    </row>
    <row r="41" spans="1:22" x14ac:dyDescent="0.25">
      <c r="A41" s="318" t="str">
        <f t="shared" si="5"/>
        <v>Tue</v>
      </c>
      <c r="B41" s="15">
        <v>41282</v>
      </c>
      <c r="C41" s="16">
        <v>0.41666666666666669</v>
      </c>
      <c r="D41" s="6">
        <v>35.700000000000003</v>
      </c>
      <c r="E41" s="6">
        <v>17.5</v>
      </c>
      <c r="F41" s="6">
        <v>291</v>
      </c>
      <c r="G41" s="6">
        <v>44</v>
      </c>
      <c r="H41" s="6">
        <v>9.6999999999999993</v>
      </c>
      <c r="I41" s="6"/>
      <c r="J41" s="6"/>
      <c r="K41" s="6"/>
      <c r="L41" s="20"/>
      <c r="M41" s="84">
        <f t="shared" si="0"/>
        <v>291</v>
      </c>
      <c r="N41" s="248">
        <f>RHcount!X35</f>
        <v>77.399999999999991</v>
      </c>
      <c r="O41" s="17"/>
      <c r="P41" s="17"/>
      <c r="Q41" s="17"/>
      <c r="R41" s="17"/>
      <c r="S41" s="17"/>
      <c r="T41" s="17"/>
      <c r="U41" s="4"/>
      <c r="V41" s="4"/>
    </row>
    <row r="42" spans="1:22" x14ac:dyDescent="0.25">
      <c r="A42" s="318" t="str">
        <f t="shared" si="5"/>
        <v>Tue</v>
      </c>
      <c r="B42" s="15">
        <v>41282</v>
      </c>
      <c r="C42" s="16">
        <v>0.45833333333333331</v>
      </c>
      <c r="D42" s="6">
        <v>38.799999999999997</v>
      </c>
      <c r="E42" s="6">
        <v>12.8</v>
      </c>
      <c r="F42" s="6">
        <v>291</v>
      </c>
      <c r="G42" s="6">
        <v>45</v>
      </c>
      <c r="H42" s="6">
        <v>9.8000000000000007</v>
      </c>
      <c r="I42" s="6"/>
      <c r="J42" s="6"/>
      <c r="K42" s="6"/>
      <c r="L42" s="20"/>
      <c r="M42" s="84">
        <f t="shared" si="0"/>
        <v>291</v>
      </c>
      <c r="N42" s="248">
        <f>RHcount!X36</f>
        <v>77.399999999999991</v>
      </c>
      <c r="O42" s="17"/>
      <c r="P42" s="17"/>
      <c r="Q42" s="17"/>
      <c r="R42" s="17"/>
      <c r="S42" s="17"/>
      <c r="T42" s="17"/>
      <c r="U42" s="4"/>
      <c r="V42" s="4"/>
    </row>
    <row r="43" spans="1:22" x14ac:dyDescent="0.25">
      <c r="A43" s="318" t="str">
        <f t="shared" si="5"/>
        <v>Tue</v>
      </c>
      <c r="B43" s="15">
        <v>41282</v>
      </c>
      <c r="C43" s="16">
        <v>0.5</v>
      </c>
      <c r="D43" s="6">
        <v>40</v>
      </c>
      <c r="E43" s="6">
        <v>11.4</v>
      </c>
      <c r="F43" s="6">
        <v>287</v>
      </c>
      <c r="G43" s="6">
        <v>46</v>
      </c>
      <c r="H43" s="6">
        <v>9.8000000000000007</v>
      </c>
      <c r="I43" s="6"/>
      <c r="J43" s="6"/>
      <c r="K43" s="6"/>
      <c r="L43" s="20"/>
      <c r="M43" s="84">
        <f t="shared" si="0"/>
        <v>287</v>
      </c>
      <c r="N43" s="248">
        <f>RHcount!X37</f>
        <v>77.399999999999991</v>
      </c>
      <c r="O43" s="17"/>
      <c r="P43" s="17"/>
      <c r="Q43" s="17"/>
      <c r="R43" s="17"/>
      <c r="S43" s="17"/>
      <c r="T43" s="17"/>
      <c r="U43" s="4"/>
      <c r="V43" s="4"/>
    </row>
    <row r="44" spans="1:22" x14ac:dyDescent="0.25">
      <c r="A44" s="318" t="str">
        <f t="shared" si="5"/>
        <v>Tue</v>
      </c>
      <c r="B44" s="15">
        <v>41282</v>
      </c>
      <c r="C44" s="16">
        <v>0.54166666666666663</v>
      </c>
      <c r="D44" s="6">
        <v>41.1</v>
      </c>
      <c r="E44" s="6">
        <v>10.6</v>
      </c>
      <c r="F44" s="6">
        <v>280</v>
      </c>
      <c r="G44" s="6">
        <v>47</v>
      </c>
      <c r="H44" s="6">
        <v>9.8000000000000007</v>
      </c>
      <c r="I44" s="6"/>
      <c r="J44" s="6"/>
      <c r="K44" s="6"/>
      <c r="L44" s="20"/>
      <c r="M44" s="84">
        <f t="shared" si="0"/>
        <v>280</v>
      </c>
      <c r="N44" s="248">
        <f>RHcount!X38</f>
        <v>77.399999999999991</v>
      </c>
      <c r="O44" s="17"/>
      <c r="P44" s="17"/>
      <c r="Q44" s="17"/>
      <c r="R44" s="17"/>
      <c r="S44" s="17"/>
      <c r="T44" s="17"/>
      <c r="U44" s="4"/>
      <c r="V44" s="4"/>
    </row>
    <row r="45" spans="1:22" x14ac:dyDescent="0.25">
      <c r="A45" s="318" t="str">
        <f t="shared" si="5"/>
        <v>Tue</v>
      </c>
      <c r="B45" s="15">
        <v>41282</v>
      </c>
      <c r="C45" s="16">
        <v>0.58333333333333337</v>
      </c>
      <c r="D45" s="6">
        <v>42.3</v>
      </c>
      <c r="E45" s="6">
        <v>9.9</v>
      </c>
      <c r="F45" s="6">
        <v>277</v>
      </c>
      <c r="G45" s="6">
        <v>46</v>
      </c>
      <c r="H45" s="6">
        <v>9.8000000000000007</v>
      </c>
      <c r="I45" s="6"/>
      <c r="J45" s="6"/>
      <c r="K45" s="6"/>
      <c r="L45" s="20"/>
      <c r="M45" s="84">
        <f t="shared" si="0"/>
        <v>277</v>
      </c>
      <c r="N45" s="248">
        <f>RHcount!X39</f>
        <v>77.399999999999991</v>
      </c>
      <c r="O45" s="17"/>
      <c r="P45" s="17"/>
      <c r="Q45" s="17"/>
      <c r="R45" s="17"/>
      <c r="S45" s="17"/>
      <c r="T45" s="17"/>
      <c r="U45" s="4"/>
      <c r="V45" s="4"/>
    </row>
    <row r="46" spans="1:22" x14ac:dyDescent="0.25">
      <c r="A46" s="318" t="str">
        <f t="shared" si="5"/>
        <v>Tue</v>
      </c>
      <c r="B46" s="15">
        <v>41282</v>
      </c>
      <c r="C46" s="16">
        <v>0.625</v>
      </c>
      <c r="D46" s="6">
        <v>42.1</v>
      </c>
      <c r="E46" s="6">
        <v>9.5</v>
      </c>
      <c r="F46" s="6">
        <v>268</v>
      </c>
      <c r="G46" s="6">
        <v>39</v>
      </c>
      <c r="H46" s="6">
        <v>9.8000000000000007</v>
      </c>
      <c r="I46" s="6"/>
      <c r="J46" s="6"/>
      <c r="K46" s="6"/>
      <c r="L46" s="20"/>
      <c r="M46" s="84">
        <f t="shared" si="0"/>
        <v>268</v>
      </c>
      <c r="N46" s="248">
        <f>RHcount!X40</f>
        <v>77.399999999999991</v>
      </c>
      <c r="O46" s="17"/>
      <c r="P46" s="17"/>
      <c r="Q46" s="17"/>
      <c r="R46" s="17"/>
      <c r="S46" s="17"/>
      <c r="T46" s="17"/>
      <c r="U46" s="4"/>
      <c r="V46" s="4"/>
    </row>
    <row r="47" spans="1:22" x14ac:dyDescent="0.25">
      <c r="A47" s="318" t="str">
        <f t="shared" si="5"/>
        <v>Tue</v>
      </c>
      <c r="B47" s="15">
        <v>41282</v>
      </c>
      <c r="C47" s="16">
        <v>0.66666666666666663</v>
      </c>
      <c r="D47" s="6">
        <v>42</v>
      </c>
      <c r="E47" s="6">
        <v>9.3000000000000007</v>
      </c>
      <c r="F47" s="6">
        <v>254</v>
      </c>
      <c r="G47" s="6">
        <v>30</v>
      </c>
      <c r="H47" s="6">
        <v>9.8000000000000007</v>
      </c>
      <c r="I47" s="6"/>
      <c r="J47" s="6"/>
      <c r="K47" s="6"/>
      <c r="L47" s="20"/>
      <c r="M47" s="84">
        <f t="shared" si="0"/>
        <v>254</v>
      </c>
      <c r="N47" s="248">
        <f>RHcount!X41</f>
        <v>77.399999999999991</v>
      </c>
      <c r="O47" s="17"/>
      <c r="P47" s="17"/>
      <c r="Q47" s="17"/>
      <c r="R47" s="17"/>
      <c r="S47" s="17"/>
      <c r="T47" s="17"/>
      <c r="U47" s="4"/>
      <c r="V47" s="4"/>
    </row>
    <row r="48" spans="1:22" x14ac:dyDescent="0.25">
      <c r="A48" s="318" t="str">
        <f t="shared" si="5"/>
        <v>Tue</v>
      </c>
      <c r="B48" s="15">
        <v>41282</v>
      </c>
      <c r="C48" s="16">
        <v>0.70833333333333337</v>
      </c>
      <c r="D48" s="6">
        <v>41.8</v>
      </c>
      <c r="E48" s="6">
        <v>9.8000000000000007</v>
      </c>
      <c r="F48" s="6">
        <v>249</v>
      </c>
      <c r="G48" s="6">
        <v>24</v>
      </c>
      <c r="H48" s="6">
        <v>9.8000000000000007</v>
      </c>
      <c r="I48" s="6"/>
      <c r="J48" s="6"/>
      <c r="K48" s="6"/>
      <c r="L48" s="20"/>
      <c r="M48" s="84">
        <f t="shared" si="0"/>
        <v>249</v>
      </c>
      <c r="N48" s="248">
        <f>RHcount!X42</f>
        <v>77.399999999999991</v>
      </c>
      <c r="O48" s="17"/>
      <c r="P48" s="17"/>
      <c r="Q48" s="17"/>
      <c r="R48" s="17"/>
      <c r="S48" s="17"/>
      <c r="T48" s="17"/>
      <c r="U48" s="4"/>
      <c r="V48" s="4"/>
    </row>
    <row r="49" spans="1:22" x14ac:dyDescent="0.25">
      <c r="A49" s="318" t="str">
        <f t="shared" si="5"/>
        <v>Tue</v>
      </c>
      <c r="B49" s="15">
        <v>41282</v>
      </c>
      <c r="C49" s="16">
        <v>0.75</v>
      </c>
      <c r="D49" s="6">
        <v>39.6</v>
      </c>
      <c r="E49" s="6">
        <v>13.8</v>
      </c>
      <c r="F49" s="6">
        <v>252</v>
      </c>
      <c r="G49" s="6">
        <v>20</v>
      </c>
      <c r="H49" s="6">
        <v>9.8000000000000007</v>
      </c>
      <c r="I49" s="6"/>
      <c r="J49" s="6"/>
      <c r="K49" s="6"/>
      <c r="L49" s="20"/>
      <c r="M49" s="84">
        <f t="shared" si="0"/>
        <v>252</v>
      </c>
      <c r="N49" s="248">
        <f>RHcount!X43</f>
        <v>77.399999999999991</v>
      </c>
      <c r="O49" s="17"/>
      <c r="P49" s="17"/>
      <c r="Q49" s="17"/>
      <c r="R49" s="17"/>
      <c r="S49" s="17"/>
      <c r="T49" s="17"/>
      <c r="U49" s="4"/>
      <c r="V49" s="4"/>
    </row>
    <row r="50" spans="1:22" x14ac:dyDescent="0.25">
      <c r="A50" s="318" t="str">
        <f t="shared" si="5"/>
        <v>Tue</v>
      </c>
      <c r="B50" s="15">
        <v>41282</v>
      </c>
      <c r="C50" s="16">
        <v>0.79166666666666663</v>
      </c>
      <c r="D50" s="6">
        <v>37.4</v>
      </c>
      <c r="E50" s="6">
        <v>20.399999999999999</v>
      </c>
      <c r="F50" s="6">
        <v>286</v>
      </c>
      <c r="G50" s="6">
        <v>18</v>
      </c>
      <c r="H50" s="6">
        <v>9.8000000000000007</v>
      </c>
      <c r="I50" s="6"/>
      <c r="J50" s="6"/>
      <c r="K50" s="6"/>
      <c r="L50" s="20"/>
      <c r="M50" s="84">
        <f t="shared" si="0"/>
        <v>286</v>
      </c>
      <c r="N50" s="248">
        <f>RHcount!X44</f>
        <v>77.399999999999991</v>
      </c>
      <c r="O50" s="17"/>
      <c r="P50" s="17"/>
      <c r="Q50" s="17"/>
      <c r="R50" s="17"/>
      <c r="S50" s="17"/>
      <c r="T50" s="17"/>
      <c r="U50" s="4"/>
      <c r="V50" s="4"/>
    </row>
    <row r="51" spans="1:22" x14ac:dyDescent="0.25">
      <c r="A51" s="318" t="str">
        <f t="shared" si="5"/>
        <v>Tue</v>
      </c>
      <c r="B51" s="15">
        <v>41282</v>
      </c>
      <c r="C51" s="16">
        <v>0.83333333333333337</v>
      </c>
      <c r="D51" s="6">
        <v>35.200000000000003</v>
      </c>
      <c r="E51" s="6">
        <v>28.4</v>
      </c>
      <c r="F51" s="6">
        <v>287</v>
      </c>
      <c r="G51" s="6">
        <v>13</v>
      </c>
      <c r="H51" s="6">
        <v>9.8000000000000007</v>
      </c>
      <c r="I51" s="6"/>
      <c r="J51" s="6"/>
      <c r="K51" s="6"/>
      <c r="L51" s="20"/>
      <c r="M51" s="84">
        <f t="shared" si="0"/>
        <v>287</v>
      </c>
      <c r="N51" s="248">
        <f>RHcount!X45</f>
        <v>77.399999999999991</v>
      </c>
      <c r="O51" s="17"/>
      <c r="P51" s="17"/>
      <c r="Q51" s="17"/>
      <c r="R51" s="17"/>
      <c r="S51" s="17"/>
      <c r="T51" s="17"/>
      <c r="U51" s="4"/>
      <c r="V51" s="4"/>
    </row>
    <row r="52" spans="1:22" x14ac:dyDescent="0.25">
      <c r="A52" s="318" t="str">
        <f t="shared" si="5"/>
        <v>Tue</v>
      </c>
      <c r="B52" s="15">
        <v>41282</v>
      </c>
      <c r="C52" s="16">
        <v>0.875</v>
      </c>
      <c r="D52" s="6">
        <v>32.4</v>
      </c>
      <c r="E52" s="6">
        <v>34.700000000000003</v>
      </c>
      <c r="F52" s="6">
        <v>254</v>
      </c>
      <c r="G52" s="6">
        <v>14</v>
      </c>
      <c r="H52" s="6">
        <v>9.8000000000000007</v>
      </c>
      <c r="I52" s="6"/>
      <c r="J52" s="6"/>
      <c r="K52" s="6"/>
      <c r="L52" s="20"/>
      <c r="M52" s="84">
        <f t="shared" si="0"/>
        <v>254</v>
      </c>
      <c r="N52" s="248">
        <f>RHcount!X46</f>
        <v>77.399999999999991</v>
      </c>
      <c r="O52" s="17"/>
      <c r="P52" s="17"/>
      <c r="Q52" s="17"/>
      <c r="R52" s="17"/>
      <c r="S52" s="17"/>
      <c r="T52" s="17"/>
      <c r="U52" s="4"/>
      <c r="V52" s="4"/>
    </row>
    <row r="53" spans="1:22" x14ac:dyDescent="0.25">
      <c r="A53" s="318" t="str">
        <f t="shared" si="5"/>
        <v>Tue</v>
      </c>
      <c r="B53" s="15">
        <v>41282</v>
      </c>
      <c r="C53" s="16">
        <v>0.91666666666666663</v>
      </c>
      <c r="D53" s="6">
        <v>29.6</v>
      </c>
      <c r="E53" s="6">
        <v>39.4</v>
      </c>
      <c r="F53" s="6">
        <v>199</v>
      </c>
      <c r="G53" s="6">
        <v>14</v>
      </c>
      <c r="H53" s="6">
        <v>9.8000000000000007</v>
      </c>
      <c r="I53" s="6"/>
      <c r="J53" s="6"/>
      <c r="K53" s="6"/>
      <c r="L53" s="20"/>
      <c r="M53" s="84">
        <f t="shared" si="0"/>
        <v>199</v>
      </c>
      <c r="N53" s="248">
        <f>RHcount!X47</f>
        <v>77.399999999999991</v>
      </c>
      <c r="O53" s="17"/>
      <c r="P53" s="17"/>
      <c r="Q53" s="17"/>
      <c r="R53" s="17"/>
      <c r="S53" s="17"/>
      <c r="T53" s="17"/>
      <c r="U53" s="4"/>
      <c r="V53" s="4"/>
    </row>
    <row r="54" spans="1:22" x14ac:dyDescent="0.25">
      <c r="A54" s="318" t="str">
        <f t="shared" si="5"/>
        <v>Tue</v>
      </c>
      <c r="B54" s="15">
        <v>41282</v>
      </c>
      <c r="C54" s="16">
        <v>0.95833333333333337</v>
      </c>
      <c r="D54" s="6">
        <v>26.9</v>
      </c>
      <c r="E54" s="6">
        <v>42.6</v>
      </c>
      <c r="F54" s="6">
        <v>171</v>
      </c>
      <c r="G54" s="6">
        <v>14</v>
      </c>
      <c r="H54" s="6">
        <v>9.8000000000000007</v>
      </c>
      <c r="I54" s="6"/>
      <c r="J54" s="6"/>
      <c r="K54" s="6"/>
      <c r="L54" s="20"/>
      <c r="M54" s="84">
        <f t="shared" si="0"/>
        <v>171</v>
      </c>
      <c r="N54" s="248">
        <f>RHcount!X48</f>
        <v>77.399999999999991</v>
      </c>
      <c r="O54" s="17"/>
      <c r="P54" s="17"/>
      <c r="Q54" s="17"/>
      <c r="R54" s="17"/>
      <c r="S54" s="17"/>
      <c r="T54" s="17"/>
      <c r="U54" s="4"/>
      <c r="V54" s="4"/>
    </row>
    <row r="55" spans="1:22" x14ac:dyDescent="0.25">
      <c r="A55" s="318" t="str">
        <f t="shared" si="5"/>
        <v>Wed</v>
      </c>
      <c r="B55" s="15">
        <v>41283</v>
      </c>
      <c r="C55" s="16">
        <v>0</v>
      </c>
      <c r="D55" s="6">
        <v>24.5</v>
      </c>
      <c r="E55" s="6">
        <v>51.7</v>
      </c>
      <c r="F55" s="6">
        <v>176</v>
      </c>
      <c r="G55" s="6">
        <v>12</v>
      </c>
      <c r="H55" s="6">
        <v>9.8000000000000007</v>
      </c>
      <c r="I55" s="6"/>
      <c r="J55" s="6"/>
      <c r="K55" s="6"/>
      <c r="L55" s="20"/>
      <c r="M55" s="84">
        <f t="shared" si="0"/>
        <v>176</v>
      </c>
      <c r="N55" s="248">
        <f>RHcount!X49</f>
        <v>77.399999999999991</v>
      </c>
      <c r="O55" s="17"/>
      <c r="P55" s="17"/>
      <c r="Q55" s="17"/>
      <c r="R55" s="17"/>
      <c r="S55" s="17"/>
      <c r="T55" s="17"/>
      <c r="U55" s="4"/>
      <c r="V55" s="4"/>
    </row>
    <row r="56" spans="1:22" x14ac:dyDescent="0.25">
      <c r="A56" s="318" t="str">
        <f t="shared" si="5"/>
        <v>Wed</v>
      </c>
      <c r="B56" s="15">
        <v>41283</v>
      </c>
      <c r="C56" s="16">
        <v>4.1666666666666664E-2</v>
      </c>
      <c r="D56" s="6">
        <v>22.1</v>
      </c>
      <c r="E56" s="6">
        <v>62.1</v>
      </c>
      <c r="F56" s="6">
        <v>172</v>
      </c>
      <c r="G56" s="6">
        <v>10</v>
      </c>
      <c r="H56" s="6">
        <v>9.8000000000000007</v>
      </c>
      <c r="I56" s="6"/>
      <c r="J56" s="6"/>
      <c r="K56" s="6"/>
      <c r="L56" s="20"/>
      <c r="M56" s="84">
        <f t="shared" si="0"/>
        <v>172</v>
      </c>
      <c r="N56" s="248">
        <f>RHcount!X50</f>
        <v>77.399999999999991</v>
      </c>
      <c r="O56" s="17"/>
      <c r="P56" s="17"/>
      <c r="Q56" s="17"/>
      <c r="R56" s="17"/>
      <c r="S56" s="17"/>
      <c r="T56" s="17"/>
      <c r="U56" s="4"/>
      <c r="V56" s="4"/>
    </row>
    <row r="57" spans="1:22" x14ac:dyDescent="0.25">
      <c r="A57" s="318" t="str">
        <f t="shared" si="5"/>
        <v>Wed</v>
      </c>
      <c r="B57" s="15">
        <v>41283</v>
      </c>
      <c r="C57" s="16">
        <v>8.3333333333333329E-2</v>
      </c>
      <c r="D57" s="6">
        <v>19.600000000000001</v>
      </c>
      <c r="E57" s="6">
        <v>74.8</v>
      </c>
      <c r="F57" s="6">
        <v>161</v>
      </c>
      <c r="G57" s="6">
        <v>8</v>
      </c>
      <c r="H57" s="6">
        <v>9.8000000000000007</v>
      </c>
      <c r="I57" s="6"/>
      <c r="J57" s="6"/>
      <c r="K57" s="6"/>
      <c r="L57" s="20"/>
      <c r="M57" s="84">
        <f t="shared" si="0"/>
        <v>161</v>
      </c>
      <c r="N57" s="248">
        <f>RHcount!X51</f>
        <v>77.399999999999991</v>
      </c>
      <c r="O57" s="17"/>
      <c r="P57" s="17"/>
      <c r="Q57" s="17"/>
      <c r="R57" s="17"/>
      <c r="S57" s="17"/>
      <c r="T57" s="17"/>
      <c r="U57" s="4"/>
      <c r="V57" s="4"/>
    </row>
    <row r="58" spans="1:22" x14ac:dyDescent="0.25">
      <c r="A58" s="318" t="str">
        <f t="shared" si="5"/>
        <v>Wed</v>
      </c>
      <c r="B58" s="15">
        <v>41283</v>
      </c>
      <c r="C58" s="16">
        <v>0.125</v>
      </c>
      <c r="D58" s="6">
        <v>19.5</v>
      </c>
      <c r="E58" s="6">
        <v>74.3</v>
      </c>
      <c r="F58" s="6">
        <v>157</v>
      </c>
      <c r="G58" s="6">
        <v>9</v>
      </c>
      <c r="H58" s="6">
        <v>9.8000000000000007</v>
      </c>
      <c r="I58" s="6"/>
      <c r="J58" s="6"/>
      <c r="K58" s="6"/>
      <c r="L58" s="20"/>
      <c r="M58" s="84">
        <f t="shared" si="0"/>
        <v>157</v>
      </c>
      <c r="N58" s="248">
        <f>RHcount!X52</f>
        <v>77.399999999999991</v>
      </c>
      <c r="O58" s="17"/>
      <c r="P58" s="17"/>
      <c r="Q58" s="17"/>
      <c r="R58" s="17"/>
      <c r="S58" s="17"/>
      <c r="T58" s="17"/>
      <c r="U58" s="4"/>
      <c r="V58" s="4"/>
    </row>
    <row r="59" spans="1:22" x14ac:dyDescent="0.25">
      <c r="A59" s="318" t="str">
        <f t="shared" si="5"/>
        <v>Wed</v>
      </c>
      <c r="B59" s="15">
        <v>41283</v>
      </c>
      <c r="C59" s="16">
        <v>0.16666666666666666</v>
      </c>
      <c r="D59" s="6">
        <v>19.2</v>
      </c>
      <c r="E59" s="6">
        <v>74.2</v>
      </c>
      <c r="F59" s="6">
        <v>153</v>
      </c>
      <c r="G59" s="6">
        <v>10</v>
      </c>
      <c r="H59" s="6">
        <v>9.8000000000000007</v>
      </c>
      <c r="I59" s="6"/>
      <c r="J59" s="6"/>
      <c r="K59" s="6"/>
      <c r="L59" s="20"/>
      <c r="M59" s="84">
        <f t="shared" si="0"/>
        <v>153</v>
      </c>
      <c r="N59" s="248">
        <f>RHcount!X53</f>
        <v>77.399999999999991</v>
      </c>
      <c r="O59" s="17"/>
      <c r="P59" s="17"/>
      <c r="Q59" s="17"/>
      <c r="R59" s="17"/>
      <c r="S59" s="17"/>
      <c r="T59" s="17"/>
      <c r="U59" s="4"/>
      <c r="V59" s="4"/>
    </row>
    <row r="60" spans="1:22" x14ac:dyDescent="0.25">
      <c r="A60" s="318" t="str">
        <f t="shared" si="5"/>
        <v>Wed</v>
      </c>
      <c r="B60" s="15">
        <v>41283</v>
      </c>
      <c r="C60" s="16">
        <v>0.20833333333333334</v>
      </c>
      <c r="D60" s="6">
        <v>19.100000000000001</v>
      </c>
      <c r="E60" s="6">
        <v>73.8</v>
      </c>
      <c r="F60" s="6">
        <v>147</v>
      </c>
      <c r="G60" s="6">
        <v>11</v>
      </c>
      <c r="H60" s="6">
        <v>9.8000000000000007</v>
      </c>
      <c r="I60" s="6"/>
      <c r="J60" s="6"/>
      <c r="K60" s="6"/>
      <c r="L60" s="20"/>
      <c r="M60" s="84">
        <f t="shared" si="0"/>
        <v>147</v>
      </c>
      <c r="N60" s="248">
        <f>RHcount!X54</f>
        <v>77.399999999999991</v>
      </c>
      <c r="O60" s="17"/>
      <c r="P60" s="17"/>
      <c r="Q60" s="17"/>
      <c r="R60" s="17"/>
      <c r="S60" s="17"/>
      <c r="T60" s="17"/>
      <c r="U60" s="4"/>
      <c r="V60" s="4"/>
    </row>
    <row r="61" spans="1:22" x14ac:dyDescent="0.25">
      <c r="A61" s="318" t="str">
        <f t="shared" si="5"/>
        <v>Wed</v>
      </c>
      <c r="B61" s="15">
        <v>41283</v>
      </c>
      <c r="C61" s="16">
        <v>0.25</v>
      </c>
      <c r="D61" s="6">
        <v>18.2</v>
      </c>
      <c r="E61" s="6">
        <v>72.599999999999994</v>
      </c>
      <c r="F61" s="6">
        <v>150</v>
      </c>
      <c r="G61" s="6">
        <v>11</v>
      </c>
      <c r="H61" s="6">
        <v>9.8000000000000007</v>
      </c>
      <c r="I61" s="6"/>
      <c r="J61" s="6"/>
      <c r="K61" s="6"/>
      <c r="L61" s="20"/>
      <c r="M61" s="84">
        <f t="shared" si="0"/>
        <v>150</v>
      </c>
      <c r="N61" s="248">
        <f>RHcount!X55</f>
        <v>77.399999999999991</v>
      </c>
      <c r="O61" s="17"/>
      <c r="P61" s="17"/>
      <c r="Q61" s="17"/>
      <c r="R61" s="17"/>
      <c r="S61" s="17"/>
      <c r="T61" s="17"/>
      <c r="U61" s="4"/>
      <c r="V61" s="4"/>
    </row>
    <row r="62" spans="1:22" x14ac:dyDescent="0.25">
      <c r="A62" s="318" t="str">
        <f t="shared" si="5"/>
        <v>Wed</v>
      </c>
      <c r="B62" s="15">
        <v>41283</v>
      </c>
      <c r="C62" s="16">
        <v>0.29166666666666669</v>
      </c>
      <c r="D62" s="6">
        <v>17.399999999999999</v>
      </c>
      <c r="E62" s="6">
        <v>71.099999999999994</v>
      </c>
      <c r="F62" s="6">
        <v>156</v>
      </c>
      <c r="G62" s="6">
        <v>11</v>
      </c>
      <c r="H62" s="6">
        <v>9.8000000000000007</v>
      </c>
      <c r="I62" s="6"/>
      <c r="J62" s="6"/>
      <c r="K62" s="6"/>
      <c r="L62" s="20"/>
      <c r="M62" s="84">
        <f t="shared" si="0"/>
        <v>156</v>
      </c>
      <c r="N62" s="248">
        <f>RHcount!X56</f>
        <v>77.399999999999991</v>
      </c>
      <c r="O62" s="17"/>
      <c r="P62" s="17"/>
      <c r="Q62" s="17"/>
      <c r="R62" s="17"/>
      <c r="S62" s="17"/>
      <c r="T62" s="17"/>
      <c r="U62" s="4"/>
      <c r="V62" s="4"/>
    </row>
    <row r="63" spans="1:22" x14ac:dyDescent="0.25">
      <c r="A63" s="318" t="str">
        <f t="shared" si="5"/>
        <v>Wed</v>
      </c>
      <c r="B63" s="15">
        <v>41283</v>
      </c>
      <c r="C63" s="16">
        <v>0.33333333333333331</v>
      </c>
      <c r="D63" s="6">
        <v>16.5</v>
      </c>
      <c r="E63" s="6">
        <v>70</v>
      </c>
      <c r="F63" s="6">
        <v>157</v>
      </c>
      <c r="G63" s="6">
        <v>11</v>
      </c>
      <c r="H63" s="6">
        <v>9.8000000000000007</v>
      </c>
      <c r="I63" s="6"/>
      <c r="J63" s="6"/>
      <c r="K63" s="6"/>
      <c r="L63" s="20"/>
      <c r="M63" s="84">
        <f t="shared" si="0"/>
        <v>157</v>
      </c>
      <c r="N63" s="248">
        <f>RHcount!X57</f>
        <v>18.399999999999977</v>
      </c>
      <c r="O63" s="17"/>
      <c r="P63" s="17"/>
      <c r="Q63" s="17"/>
      <c r="R63" s="17"/>
      <c r="S63" s="17"/>
      <c r="T63" s="17"/>
      <c r="U63" s="4"/>
      <c r="V63" s="4"/>
    </row>
    <row r="64" spans="1:22" x14ac:dyDescent="0.25">
      <c r="A64" s="318" t="str">
        <f t="shared" si="5"/>
        <v>Wed</v>
      </c>
      <c r="B64" s="15">
        <v>41283</v>
      </c>
      <c r="C64" s="16">
        <v>0.375</v>
      </c>
      <c r="D64" s="6">
        <v>17.5</v>
      </c>
      <c r="E64" s="6">
        <v>62.3</v>
      </c>
      <c r="F64" s="6">
        <v>156</v>
      </c>
      <c r="G64" s="6">
        <v>10</v>
      </c>
      <c r="H64" s="6">
        <v>9.8000000000000007</v>
      </c>
      <c r="I64" s="6"/>
      <c r="J64" s="6"/>
      <c r="K64" s="6"/>
      <c r="L64" s="20"/>
      <c r="M64" s="84">
        <f t="shared" si="0"/>
        <v>156</v>
      </c>
      <c r="N64" s="248">
        <f>RHcount!X58</f>
        <v>18.399999999999977</v>
      </c>
      <c r="O64" s="17"/>
      <c r="P64" s="17"/>
      <c r="Q64" s="17"/>
      <c r="R64" s="17"/>
      <c r="S64" s="17"/>
      <c r="T64" s="17"/>
      <c r="U64" s="4"/>
      <c r="V64" s="4"/>
    </row>
    <row r="65" spans="1:22" x14ac:dyDescent="0.25">
      <c r="A65" s="318" t="str">
        <f t="shared" si="5"/>
        <v>Wed</v>
      </c>
      <c r="B65" s="15">
        <v>41283</v>
      </c>
      <c r="C65" s="16">
        <v>0.41666666666666669</v>
      </c>
      <c r="D65" s="6">
        <v>18.600000000000001</v>
      </c>
      <c r="E65" s="6">
        <v>55.5</v>
      </c>
      <c r="F65" s="6">
        <v>155</v>
      </c>
      <c r="G65" s="6">
        <v>9</v>
      </c>
      <c r="H65" s="6">
        <v>9.8000000000000007</v>
      </c>
      <c r="I65" s="6"/>
      <c r="J65" s="6"/>
      <c r="K65" s="6"/>
      <c r="L65" s="20"/>
      <c r="M65" s="84">
        <f t="shared" si="0"/>
        <v>155</v>
      </c>
      <c r="N65" s="248">
        <f>RHcount!X59</f>
        <v>18.399999999999977</v>
      </c>
      <c r="O65" s="17"/>
      <c r="P65" s="17"/>
      <c r="Q65" s="17"/>
      <c r="R65" s="17"/>
      <c r="S65" s="17"/>
      <c r="T65" s="17"/>
      <c r="U65" s="4"/>
      <c r="V65" s="4"/>
    </row>
    <row r="66" spans="1:22" x14ac:dyDescent="0.25">
      <c r="A66" s="318" t="str">
        <f t="shared" si="5"/>
        <v>Wed</v>
      </c>
      <c r="B66" s="15">
        <v>41283</v>
      </c>
      <c r="C66" s="16">
        <v>0.45833333333333331</v>
      </c>
      <c r="D66" s="6">
        <v>19.600000000000001</v>
      </c>
      <c r="E66" s="6">
        <v>49.4</v>
      </c>
      <c r="F66" s="6">
        <v>155</v>
      </c>
      <c r="G66" s="6">
        <v>8</v>
      </c>
      <c r="H66" s="6">
        <v>9.9</v>
      </c>
      <c r="I66" s="6"/>
      <c r="J66" s="6"/>
      <c r="K66" s="6"/>
      <c r="L66" s="20"/>
      <c r="M66" s="84">
        <f t="shared" si="0"/>
        <v>155</v>
      </c>
      <c r="N66" s="248">
        <f>RHcount!X60</f>
        <v>18.399999999999977</v>
      </c>
      <c r="O66" s="17"/>
      <c r="P66" s="17"/>
      <c r="Q66" s="17"/>
      <c r="R66" s="17"/>
      <c r="S66" s="17"/>
      <c r="T66" s="17"/>
      <c r="U66" s="4"/>
      <c r="V66" s="4"/>
    </row>
    <row r="67" spans="1:22" x14ac:dyDescent="0.25">
      <c r="A67" s="318" t="str">
        <f t="shared" si="5"/>
        <v>Wed</v>
      </c>
      <c r="B67" s="15">
        <v>41283</v>
      </c>
      <c r="C67" s="16">
        <v>0.5</v>
      </c>
      <c r="D67" s="6">
        <v>21.1</v>
      </c>
      <c r="E67" s="6">
        <v>44.7</v>
      </c>
      <c r="F67" s="6">
        <v>147</v>
      </c>
      <c r="G67" s="6">
        <v>9</v>
      </c>
      <c r="H67" s="6">
        <v>9.9</v>
      </c>
      <c r="I67" s="6"/>
      <c r="J67" s="6"/>
      <c r="K67" s="6"/>
      <c r="L67" s="20"/>
      <c r="M67" s="84">
        <f t="shared" si="0"/>
        <v>147</v>
      </c>
      <c r="N67" s="248">
        <f>RHcount!X61</f>
        <v>18.399999999999977</v>
      </c>
      <c r="O67" s="17"/>
      <c r="P67" s="17"/>
      <c r="Q67" s="17"/>
      <c r="R67" s="17"/>
      <c r="S67" s="17"/>
      <c r="T67" s="17"/>
      <c r="U67" s="4"/>
      <c r="V67" s="4"/>
    </row>
    <row r="68" spans="1:22" x14ac:dyDescent="0.25">
      <c r="A68" s="318" t="str">
        <f t="shared" si="5"/>
        <v>Wed</v>
      </c>
      <c r="B68" s="15">
        <v>41283</v>
      </c>
      <c r="C68" s="16">
        <v>0.54166666666666663</v>
      </c>
      <c r="D68" s="6">
        <v>22.5</v>
      </c>
      <c r="E68" s="6">
        <v>41.1</v>
      </c>
      <c r="F68" s="6">
        <v>142</v>
      </c>
      <c r="G68" s="6">
        <v>11</v>
      </c>
      <c r="H68" s="6">
        <v>9.9</v>
      </c>
      <c r="I68" s="6"/>
      <c r="J68" s="6"/>
      <c r="K68" s="6"/>
      <c r="L68" s="20"/>
      <c r="M68" s="84">
        <f t="shared" si="0"/>
        <v>142</v>
      </c>
      <c r="N68" s="248">
        <f>RHcount!X62</f>
        <v>18.399999999999977</v>
      </c>
      <c r="O68" s="17"/>
      <c r="P68" s="17"/>
      <c r="Q68" s="17"/>
      <c r="R68" s="17"/>
      <c r="S68" s="17"/>
      <c r="T68" s="17"/>
      <c r="U68" s="4"/>
      <c r="V68" s="4"/>
    </row>
    <row r="69" spans="1:22" x14ac:dyDescent="0.25">
      <c r="A69" s="318" t="str">
        <f t="shared" si="5"/>
        <v>Wed</v>
      </c>
      <c r="B69" s="15">
        <v>41283</v>
      </c>
      <c r="C69" s="16">
        <v>0.58333333333333337</v>
      </c>
      <c r="D69" s="6">
        <v>24</v>
      </c>
      <c r="E69" s="6">
        <v>37.200000000000003</v>
      </c>
      <c r="F69" s="6">
        <v>137</v>
      </c>
      <c r="G69" s="6">
        <v>13</v>
      </c>
      <c r="H69" s="6">
        <v>9.9</v>
      </c>
      <c r="I69" s="6"/>
      <c r="J69" s="6"/>
      <c r="K69" s="6"/>
      <c r="L69" s="20"/>
      <c r="M69" s="84">
        <f t="shared" si="0"/>
        <v>137</v>
      </c>
      <c r="N69" s="248">
        <f>RHcount!X63</f>
        <v>18.399999999999977</v>
      </c>
      <c r="O69" s="17"/>
      <c r="P69" s="17"/>
      <c r="Q69" s="17"/>
      <c r="R69" s="17"/>
      <c r="S69" s="17"/>
      <c r="T69" s="17"/>
      <c r="U69" s="4"/>
      <c r="V69" s="4"/>
    </row>
    <row r="70" spans="1:22" x14ac:dyDescent="0.25">
      <c r="A70" s="318" t="str">
        <f t="shared" si="5"/>
        <v>Wed</v>
      </c>
      <c r="B70" s="15">
        <v>41283</v>
      </c>
      <c r="C70" s="16">
        <v>0.625</v>
      </c>
      <c r="D70" s="6">
        <v>23.6</v>
      </c>
      <c r="E70" s="6">
        <v>37.6</v>
      </c>
      <c r="F70" s="6">
        <v>134</v>
      </c>
      <c r="G70" s="6">
        <v>14</v>
      </c>
      <c r="H70" s="6">
        <v>9.9</v>
      </c>
      <c r="I70" s="6"/>
      <c r="J70" s="6"/>
      <c r="K70" s="6"/>
      <c r="L70" s="20"/>
      <c r="M70" s="84">
        <f t="shared" si="0"/>
        <v>134</v>
      </c>
      <c r="N70" s="248">
        <f>RHcount!X64</f>
        <v>18.399999999999977</v>
      </c>
      <c r="O70" s="17"/>
      <c r="P70" s="17"/>
      <c r="Q70" s="17"/>
      <c r="R70" s="17"/>
      <c r="S70" s="17"/>
      <c r="T70" s="17"/>
      <c r="U70" s="4"/>
      <c r="V70" s="4"/>
    </row>
    <row r="71" spans="1:22" x14ac:dyDescent="0.25">
      <c r="A71" s="318" t="str">
        <f t="shared" si="5"/>
        <v>Wed</v>
      </c>
      <c r="B71" s="15">
        <v>41283</v>
      </c>
      <c r="C71" s="16">
        <v>0.66666666666666663</v>
      </c>
      <c r="D71" s="6">
        <v>23.3</v>
      </c>
      <c r="E71" s="6">
        <v>37.6</v>
      </c>
      <c r="F71" s="6">
        <v>131</v>
      </c>
      <c r="G71" s="6">
        <v>15</v>
      </c>
      <c r="H71" s="6">
        <v>9.9</v>
      </c>
      <c r="I71" s="6"/>
      <c r="J71" s="6"/>
      <c r="K71" s="6"/>
      <c r="L71" s="20"/>
      <c r="M71" s="84">
        <f t="shared" si="0"/>
        <v>131</v>
      </c>
      <c r="N71" s="248">
        <f>RHcount!X65</f>
        <v>18.399999999999977</v>
      </c>
      <c r="O71" s="17"/>
      <c r="P71" s="17"/>
      <c r="Q71" s="17"/>
      <c r="R71" s="17"/>
      <c r="S71" s="17"/>
      <c r="T71" s="17"/>
      <c r="U71" s="4"/>
      <c r="V71" s="4"/>
    </row>
    <row r="72" spans="1:22" x14ac:dyDescent="0.25">
      <c r="A72" s="318" t="str">
        <f t="shared" si="5"/>
        <v>Wed</v>
      </c>
      <c r="B72" s="15">
        <v>41283</v>
      </c>
      <c r="C72" s="16">
        <v>0.70833333333333337</v>
      </c>
      <c r="D72" s="6">
        <v>22.9</v>
      </c>
      <c r="E72" s="6">
        <v>38</v>
      </c>
      <c r="F72" s="6">
        <v>126</v>
      </c>
      <c r="G72" s="6">
        <v>16</v>
      </c>
      <c r="H72" s="6">
        <v>9.9</v>
      </c>
      <c r="I72" s="6"/>
      <c r="J72" s="6"/>
      <c r="K72" s="6"/>
      <c r="L72" s="20"/>
      <c r="M72" s="84">
        <f t="shared" si="0"/>
        <v>126</v>
      </c>
      <c r="N72" s="248">
        <f>RHcount!X66</f>
        <v>18.399999999999977</v>
      </c>
      <c r="O72" s="17"/>
      <c r="P72" s="17"/>
      <c r="Q72" s="17"/>
      <c r="R72" s="17"/>
      <c r="S72" s="17"/>
      <c r="T72" s="17"/>
      <c r="U72" s="4"/>
      <c r="V72" s="4"/>
    </row>
    <row r="73" spans="1:22" x14ac:dyDescent="0.25">
      <c r="A73" s="318" t="str">
        <f t="shared" si="5"/>
        <v>Wed</v>
      </c>
      <c r="B73" s="15">
        <v>41283</v>
      </c>
      <c r="C73" s="16">
        <v>0.75</v>
      </c>
      <c r="D73" s="6">
        <v>21.4</v>
      </c>
      <c r="E73" s="6">
        <v>43.6</v>
      </c>
      <c r="F73" s="6">
        <v>123</v>
      </c>
      <c r="G73" s="6">
        <v>13</v>
      </c>
      <c r="H73" s="6">
        <v>9.9</v>
      </c>
      <c r="I73" s="6"/>
      <c r="J73" s="6"/>
      <c r="K73" s="6"/>
      <c r="L73" s="20"/>
      <c r="M73" s="84">
        <f t="shared" si="0"/>
        <v>123</v>
      </c>
      <c r="N73" s="248">
        <f>RHcount!X67</f>
        <v>18.399999999999977</v>
      </c>
      <c r="O73" s="17"/>
      <c r="P73" s="17"/>
      <c r="Q73" s="17"/>
      <c r="R73" s="17"/>
      <c r="S73" s="17"/>
      <c r="T73" s="17"/>
      <c r="U73" s="4"/>
      <c r="V73" s="4"/>
    </row>
    <row r="74" spans="1:22" x14ac:dyDescent="0.25">
      <c r="A74" s="318" t="str">
        <f t="shared" si="5"/>
        <v>Wed</v>
      </c>
      <c r="B74" s="15">
        <v>41283</v>
      </c>
      <c r="C74" s="16">
        <v>0.79166666666666663</v>
      </c>
      <c r="D74" s="6">
        <v>19.8</v>
      </c>
      <c r="E74" s="6">
        <v>50.1</v>
      </c>
      <c r="F74" s="6">
        <v>118</v>
      </c>
      <c r="G74" s="6">
        <v>10</v>
      </c>
      <c r="H74" s="6">
        <v>9.9</v>
      </c>
      <c r="I74" s="6"/>
      <c r="J74" s="6"/>
      <c r="K74" s="6"/>
      <c r="L74" s="20"/>
      <c r="M74" s="84">
        <f t="shared" si="0"/>
        <v>118</v>
      </c>
      <c r="N74" s="248">
        <f>RHcount!X68</f>
        <v>18.399999999999977</v>
      </c>
      <c r="O74" s="17"/>
      <c r="P74" s="17"/>
      <c r="Q74" s="17"/>
      <c r="R74" s="17"/>
      <c r="S74" s="17"/>
      <c r="T74" s="17"/>
      <c r="U74" s="4"/>
      <c r="V74" s="4"/>
    </row>
    <row r="75" spans="1:22" x14ac:dyDescent="0.25">
      <c r="A75" s="318" t="str">
        <f t="shared" si="5"/>
        <v>Wed</v>
      </c>
      <c r="B75" s="15">
        <v>41283</v>
      </c>
      <c r="C75" s="16">
        <v>0.83333333333333337</v>
      </c>
      <c r="D75" s="6">
        <v>18.2</v>
      </c>
      <c r="E75" s="6">
        <v>58</v>
      </c>
      <c r="F75" s="6">
        <v>109</v>
      </c>
      <c r="G75" s="6">
        <v>8</v>
      </c>
      <c r="H75" s="6">
        <v>9.9</v>
      </c>
      <c r="I75" s="6"/>
      <c r="J75" s="6"/>
      <c r="K75" s="6"/>
      <c r="L75" s="20"/>
      <c r="M75" s="84">
        <f t="shared" ref="M75:M138" si="8">IF(F75&gt;"a",VLOOKUP(F75,$U$11:$V$26,2),F75)</f>
        <v>109</v>
      </c>
      <c r="N75" s="248">
        <f>RHcount!X69</f>
        <v>18.399999999999977</v>
      </c>
      <c r="O75" s="17"/>
      <c r="P75" s="17"/>
      <c r="Q75" s="17"/>
      <c r="R75" s="17"/>
      <c r="S75" s="17"/>
      <c r="T75" s="17"/>
      <c r="U75" s="4"/>
      <c r="V75" s="4"/>
    </row>
    <row r="76" spans="1:22" x14ac:dyDescent="0.25">
      <c r="A76" s="318" t="str">
        <f t="shared" si="5"/>
        <v>Wed</v>
      </c>
      <c r="B76" s="15">
        <v>41283</v>
      </c>
      <c r="C76" s="16">
        <v>0.875</v>
      </c>
      <c r="D76" s="6">
        <v>17.399999999999999</v>
      </c>
      <c r="E76" s="6">
        <v>62.2</v>
      </c>
      <c r="F76" s="6">
        <v>101</v>
      </c>
      <c r="G76" s="6">
        <v>7</v>
      </c>
      <c r="H76" s="6">
        <v>9.9</v>
      </c>
      <c r="I76" s="6"/>
      <c r="J76" s="6"/>
      <c r="K76" s="6"/>
      <c r="L76" s="20"/>
      <c r="M76" s="84">
        <f t="shared" si="8"/>
        <v>101</v>
      </c>
      <c r="N76" s="248">
        <f>RHcount!X70</f>
        <v>18.399999999999977</v>
      </c>
      <c r="O76" s="17"/>
      <c r="P76" s="17"/>
      <c r="Q76" s="17"/>
      <c r="R76" s="17"/>
      <c r="S76" s="17"/>
      <c r="T76" s="17"/>
      <c r="U76" s="4"/>
      <c r="V76" s="4"/>
    </row>
    <row r="77" spans="1:22" x14ac:dyDescent="0.25">
      <c r="A77" s="318" t="str">
        <f t="shared" si="5"/>
        <v>Wed</v>
      </c>
      <c r="B77" s="15">
        <v>41283</v>
      </c>
      <c r="C77" s="16">
        <v>0.91666666666666663</v>
      </c>
      <c r="D77" s="6">
        <v>16.5</v>
      </c>
      <c r="E77" s="6">
        <v>66.8</v>
      </c>
      <c r="F77" s="6">
        <v>91</v>
      </c>
      <c r="G77" s="6">
        <v>7</v>
      </c>
      <c r="H77" s="6">
        <v>9.9</v>
      </c>
      <c r="I77" s="6"/>
      <c r="J77" s="6"/>
      <c r="K77" s="6"/>
      <c r="L77" s="20"/>
      <c r="M77" s="84">
        <f t="shared" si="8"/>
        <v>91</v>
      </c>
      <c r="N77" s="248">
        <f>RHcount!X71</f>
        <v>18.399999999999977</v>
      </c>
      <c r="O77" s="17"/>
      <c r="P77" s="17"/>
      <c r="Q77" s="17"/>
      <c r="R77" s="17"/>
      <c r="S77" s="17"/>
      <c r="T77" s="17"/>
      <c r="U77" s="4"/>
      <c r="V77" s="4"/>
    </row>
    <row r="78" spans="1:22" x14ac:dyDescent="0.25">
      <c r="A78" s="318" t="str">
        <f t="shared" ref="A78:A141" si="9">TEXT(B78,"ddd")</f>
        <v>Wed</v>
      </c>
      <c r="B78" s="15">
        <v>41283</v>
      </c>
      <c r="C78" s="16">
        <v>0.95833333333333337</v>
      </c>
      <c r="D78" s="6">
        <v>15.7</v>
      </c>
      <c r="E78" s="6">
        <v>71.7</v>
      </c>
      <c r="F78" s="6">
        <v>78</v>
      </c>
      <c r="G78" s="6">
        <v>7</v>
      </c>
      <c r="H78" s="6">
        <v>9.9</v>
      </c>
      <c r="I78" s="6"/>
      <c r="J78" s="6"/>
      <c r="K78" s="6"/>
      <c r="L78" s="20"/>
      <c r="M78" s="84">
        <f t="shared" si="8"/>
        <v>78</v>
      </c>
      <c r="N78" s="248">
        <f>RHcount!X72</f>
        <v>18.399999999999977</v>
      </c>
      <c r="O78" s="17"/>
      <c r="P78" s="17"/>
      <c r="Q78" s="17"/>
      <c r="R78" s="17"/>
      <c r="S78" s="17"/>
      <c r="T78" s="17"/>
      <c r="U78" s="4"/>
      <c r="V78" s="4"/>
    </row>
    <row r="79" spans="1:22" x14ac:dyDescent="0.25">
      <c r="A79" s="318" t="str">
        <f t="shared" si="9"/>
        <v>Thu</v>
      </c>
      <c r="B79" s="15">
        <v>41284</v>
      </c>
      <c r="C79" s="16">
        <v>0</v>
      </c>
      <c r="D79" s="6">
        <v>15.6</v>
      </c>
      <c r="E79" s="6">
        <v>73.099999999999994</v>
      </c>
      <c r="F79" s="6">
        <v>64</v>
      </c>
      <c r="G79" s="6">
        <v>7</v>
      </c>
      <c r="H79" s="6">
        <v>9.9</v>
      </c>
      <c r="I79" s="6"/>
      <c r="J79" s="6"/>
      <c r="K79" s="6"/>
      <c r="L79" s="20"/>
      <c r="M79" s="84">
        <f t="shared" si="8"/>
        <v>64</v>
      </c>
      <c r="N79" s="248">
        <f>RHcount!X73</f>
        <v>18.399999999999977</v>
      </c>
      <c r="O79" s="17"/>
      <c r="P79" s="17"/>
      <c r="Q79" s="17"/>
      <c r="R79" s="17"/>
      <c r="S79" s="17"/>
      <c r="T79" s="17"/>
      <c r="U79" s="4"/>
      <c r="V79" s="4"/>
    </row>
    <row r="80" spans="1:22" x14ac:dyDescent="0.25">
      <c r="A80" s="318" t="str">
        <f t="shared" si="9"/>
        <v>Thu</v>
      </c>
      <c r="B80" s="15">
        <v>41284</v>
      </c>
      <c r="C80" s="16">
        <v>4.1666666666666664E-2</v>
      </c>
      <c r="D80" s="6">
        <v>15.3</v>
      </c>
      <c r="E80" s="6">
        <v>75.5</v>
      </c>
      <c r="F80" s="6">
        <v>48</v>
      </c>
      <c r="G80" s="6">
        <v>6</v>
      </c>
      <c r="H80" s="6">
        <v>9.9</v>
      </c>
      <c r="I80" s="6"/>
      <c r="J80" s="6"/>
      <c r="K80" s="6"/>
      <c r="L80" s="20"/>
      <c r="M80" s="84">
        <f t="shared" si="8"/>
        <v>48</v>
      </c>
      <c r="N80" s="248">
        <f>RHcount!X74</f>
        <v>18.399999999999977</v>
      </c>
      <c r="O80" s="17"/>
      <c r="P80" s="17"/>
      <c r="Q80" s="17"/>
      <c r="R80" s="17"/>
      <c r="S80" s="17"/>
      <c r="T80" s="17"/>
      <c r="U80" s="4"/>
      <c r="V80" s="4"/>
    </row>
    <row r="81" spans="1:22" x14ac:dyDescent="0.25">
      <c r="A81" s="318" t="str">
        <f t="shared" si="9"/>
        <v>Thu</v>
      </c>
      <c r="B81" s="15">
        <v>41284</v>
      </c>
      <c r="C81" s="16">
        <v>8.3333333333333329E-2</v>
      </c>
      <c r="D81" s="6">
        <v>15.2</v>
      </c>
      <c r="E81" s="6">
        <v>77</v>
      </c>
      <c r="F81" s="6">
        <v>33</v>
      </c>
      <c r="G81" s="6">
        <v>6</v>
      </c>
      <c r="H81" s="6">
        <v>9.9</v>
      </c>
      <c r="I81" s="6"/>
      <c r="J81" s="6"/>
      <c r="K81" s="6"/>
      <c r="L81" s="20"/>
      <c r="M81" s="84">
        <f t="shared" si="8"/>
        <v>33</v>
      </c>
      <c r="N81" s="248">
        <f>RHcount!X75</f>
        <v>18.399999999999977</v>
      </c>
      <c r="O81" s="17"/>
      <c r="P81" s="17"/>
      <c r="Q81" s="17"/>
      <c r="R81" s="17"/>
      <c r="S81" s="17"/>
      <c r="T81" s="17"/>
      <c r="U81" s="4"/>
      <c r="V81" s="4"/>
    </row>
    <row r="82" spans="1:22" x14ac:dyDescent="0.25">
      <c r="A82" s="318" t="str">
        <f t="shared" si="9"/>
        <v>Thu</v>
      </c>
      <c r="B82" s="15">
        <v>41284</v>
      </c>
      <c r="C82" s="16">
        <v>0.125</v>
      </c>
      <c r="D82" s="6">
        <v>15</v>
      </c>
      <c r="E82" s="6">
        <v>76.5</v>
      </c>
      <c r="F82" s="6">
        <v>24</v>
      </c>
      <c r="G82" s="6">
        <v>6</v>
      </c>
      <c r="H82" s="6">
        <v>9.9</v>
      </c>
      <c r="I82" s="6"/>
      <c r="J82" s="6"/>
      <c r="K82" s="6"/>
      <c r="L82" s="20"/>
      <c r="M82" s="84">
        <f t="shared" si="8"/>
        <v>24</v>
      </c>
      <c r="N82" s="248">
        <f>RHcount!X76</f>
        <v>18.399999999999977</v>
      </c>
      <c r="O82" s="17"/>
      <c r="P82" s="17"/>
      <c r="Q82" s="17"/>
      <c r="R82" s="17"/>
      <c r="S82" s="17"/>
      <c r="T82" s="17"/>
      <c r="U82" s="4"/>
      <c r="V82" s="4"/>
    </row>
    <row r="83" spans="1:22" x14ac:dyDescent="0.25">
      <c r="A83" s="318" t="str">
        <f t="shared" si="9"/>
        <v>Thu</v>
      </c>
      <c r="B83" s="15">
        <v>41284</v>
      </c>
      <c r="C83" s="16">
        <v>0.16666666666666666</v>
      </c>
      <c r="D83" s="6">
        <v>14.9</v>
      </c>
      <c r="E83" s="6">
        <v>75.5</v>
      </c>
      <c r="F83" s="6">
        <v>14</v>
      </c>
      <c r="G83" s="6">
        <v>6</v>
      </c>
      <c r="H83" s="6">
        <v>9.9</v>
      </c>
      <c r="I83" s="6"/>
      <c r="J83" s="6"/>
      <c r="K83" s="6"/>
      <c r="L83" s="20"/>
      <c r="M83" s="84">
        <f t="shared" si="8"/>
        <v>14</v>
      </c>
      <c r="N83" s="248">
        <f>RHcount!X77</f>
        <v>18.399999999999977</v>
      </c>
      <c r="O83" s="17"/>
      <c r="P83" s="17"/>
      <c r="Q83" s="17"/>
      <c r="R83" s="17"/>
      <c r="S83" s="17"/>
      <c r="T83" s="17"/>
      <c r="U83" s="4"/>
      <c r="V83" s="4"/>
    </row>
    <row r="84" spans="1:22" x14ac:dyDescent="0.25">
      <c r="A84" s="318" t="str">
        <f t="shared" si="9"/>
        <v>Thu</v>
      </c>
      <c r="B84" s="15">
        <v>41284</v>
      </c>
      <c r="C84" s="16">
        <v>0.20833333333333334</v>
      </c>
      <c r="D84" s="6">
        <v>14.7</v>
      </c>
      <c r="E84" s="6">
        <v>74.900000000000006</v>
      </c>
      <c r="F84" s="6">
        <v>4</v>
      </c>
      <c r="G84" s="6">
        <v>6</v>
      </c>
      <c r="H84" s="6">
        <v>9.9</v>
      </c>
      <c r="I84" s="6"/>
      <c r="J84" s="6"/>
      <c r="K84" s="6"/>
      <c r="L84" s="20"/>
      <c r="M84" s="84">
        <f t="shared" si="8"/>
        <v>4</v>
      </c>
      <c r="N84" s="248">
        <f>RHcount!X78</f>
        <v>18.399999999999977</v>
      </c>
      <c r="O84" s="17"/>
      <c r="P84" s="17"/>
      <c r="Q84" s="17"/>
      <c r="R84" s="17"/>
      <c r="S84" s="17"/>
      <c r="T84" s="17"/>
      <c r="U84" s="4"/>
      <c r="V84" s="4"/>
    </row>
    <row r="85" spans="1:22" x14ac:dyDescent="0.25">
      <c r="A85" s="318" t="str">
        <f t="shared" si="9"/>
        <v>Thu</v>
      </c>
      <c r="B85" s="15">
        <v>41284</v>
      </c>
      <c r="C85" s="16">
        <v>0.25</v>
      </c>
      <c r="D85" s="6">
        <v>15.7</v>
      </c>
      <c r="E85" s="6">
        <v>70.3</v>
      </c>
      <c r="F85" s="6">
        <v>21</v>
      </c>
      <c r="G85" s="6">
        <v>8</v>
      </c>
      <c r="H85" s="6">
        <v>9.9</v>
      </c>
      <c r="I85" s="6"/>
      <c r="J85" s="6"/>
      <c r="K85" s="6"/>
      <c r="L85" s="20"/>
      <c r="M85" s="84">
        <f t="shared" si="8"/>
        <v>21</v>
      </c>
      <c r="N85" s="248">
        <f>RHcount!X79</f>
        <v>18.399999999999977</v>
      </c>
      <c r="O85" s="17"/>
      <c r="P85" s="17"/>
      <c r="Q85" s="17"/>
      <c r="R85" s="17"/>
      <c r="S85" s="17"/>
      <c r="T85" s="17"/>
      <c r="U85" s="4"/>
      <c r="V85" s="4"/>
    </row>
    <row r="86" spans="1:22" x14ac:dyDescent="0.25">
      <c r="A86" s="318" t="str">
        <f t="shared" si="9"/>
        <v>Thu</v>
      </c>
      <c r="B86" s="15">
        <v>41284</v>
      </c>
      <c r="C86" s="16">
        <v>0.29166666666666669</v>
      </c>
      <c r="D86" s="6">
        <v>16.8</v>
      </c>
      <c r="E86" s="6">
        <v>65.099999999999994</v>
      </c>
      <c r="F86" s="6">
        <v>32</v>
      </c>
      <c r="G86" s="6">
        <v>10</v>
      </c>
      <c r="H86" s="6">
        <v>9.9</v>
      </c>
      <c r="I86" s="6"/>
      <c r="J86" s="6"/>
      <c r="K86" s="6"/>
      <c r="L86" s="20"/>
      <c r="M86" s="84">
        <f t="shared" si="8"/>
        <v>32</v>
      </c>
      <c r="N86" s="248">
        <f>RHcount!X80</f>
        <v>18.399999999999977</v>
      </c>
      <c r="O86" s="17"/>
      <c r="P86" s="17"/>
      <c r="Q86" s="17"/>
      <c r="R86" s="17"/>
      <c r="S86" s="17"/>
      <c r="T86" s="17"/>
      <c r="U86" s="4"/>
      <c r="V86" s="4"/>
    </row>
    <row r="87" spans="1:22" x14ac:dyDescent="0.25">
      <c r="A87" s="318" t="str">
        <f t="shared" si="9"/>
        <v>Thu</v>
      </c>
      <c r="B87" s="15">
        <v>41284</v>
      </c>
      <c r="C87" s="16">
        <v>0.33333333333333331</v>
      </c>
      <c r="D87" s="6">
        <v>17.8</v>
      </c>
      <c r="E87" s="6">
        <v>61.1</v>
      </c>
      <c r="F87" s="6">
        <v>38</v>
      </c>
      <c r="G87" s="6">
        <v>12</v>
      </c>
      <c r="H87" s="6">
        <v>9.9</v>
      </c>
      <c r="I87" s="6"/>
      <c r="J87" s="6"/>
      <c r="K87" s="6"/>
      <c r="L87" s="20"/>
      <c r="M87" s="84">
        <f t="shared" si="8"/>
        <v>38</v>
      </c>
      <c r="N87" s="248">
        <f>RHcount!X81</f>
        <v>33.5</v>
      </c>
      <c r="O87" s="17"/>
      <c r="P87" s="17"/>
      <c r="Q87" s="17"/>
      <c r="R87" s="17"/>
      <c r="S87" s="17"/>
      <c r="T87" s="17"/>
      <c r="U87" s="4"/>
      <c r="V87" s="4"/>
    </row>
    <row r="88" spans="1:22" x14ac:dyDescent="0.25">
      <c r="A88" s="318" t="str">
        <f t="shared" si="9"/>
        <v>Thu</v>
      </c>
      <c r="B88" s="15">
        <v>41284</v>
      </c>
      <c r="C88" s="16">
        <v>0.375</v>
      </c>
      <c r="D88" s="6">
        <v>18.399999999999999</v>
      </c>
      <c r="E88" s="6">
        <v>58.5</v>
      </c>
      <c r="F88" s="6">
        <v>41</v>
      </c>
      <c r="G88" s="6">
        <v>12</v>
      </c>
      <c r="H88" s="6">
        <v>9.9</v>
      </c>
      <c r="I88" s="6"/>
      <c r="J88" s="6"/>
      <c r="K88" s="6"/>
      <c r="L88" s="20"/>
      <c r="M88" s="84">
        <f t="shared" si="8"/>
        <v>41</v>
      </c>
      <c r="N88" s="248">
        <f>RHcount!X82</f>
        <v>33.5</v>
      </c>
      <c r="O88" s="17"/>
      <c r="P88" s="17"/>
      <c r="Q88" s="17"/>
      <c r="R88" s="17"/>
      <c r="S88" s="17"/>
      <c r="T88" s="17"/>
      <c r="U88" s="4"/>
      <c r="V88" s="4"/>
    </row>
    <row r="89" spans="1:22" x14ac:dyDescent="0.25">
      <c r="A89" s="318" t="str">
        <f t="shared" si="9"/>
        <v>Thu</v>
      </c>
      <c r="B89" s="15">
        <v>41284</v>
      </c>
      <c r="C89" s="16">
        <v>0.41666666666666669</v>
      </c>
      <c r="D89" s="6">
        <v>19.7</v>
      </c>
      <c r="E89" s="6">
        <v>53.6</v>
      </c>
      <c r="F89" s="6">
        <v>44</v>
      </c>
      <c r="G89" s="6">
        <v>12</v>
      </c>
      <c r="H89" s="6">
        <v>9.9</v>
      </c>
      <c r="I89" s="6"/>
      <c r="J89" s="6"/>
      <c r="K89" s="6"/>
      <c r="L89" s="20"/>
      <c r="M89" s="84">
        <f t="shared" si="8"/>
        <v>44</v>
      </c>
      <c r="N89" s="248">
        <f>RHcount!X83</f>
        <v>33.5</v>
      </c>
      <c r="O89" s="17"/>
      <c r="P89" s="17"/>
      <c r="Q89" s="17"/>
      <c r="R89" s="17"/>
      <c r="S89" s="17"/>
      <c r="T89" s="17"/>
      <c r="U89" s="4"/>
      <c r="V89" s="4"/>
    </row>
    <row r="90" spans="1:22" x14ac:dyDescent="0.25">
      <c r="A90" s="318" t="str">
        <f t="shared" si="9"/>
        <v>Thu</v>
      </c>
      <c r="B90" s="15">
        <v>41284</v>
      </c>
      <c r="C90" s="16">
        <v>0.45833333333333331</v>
      </c>
      <c r="D90" s="6">
        <v>20.9</v>
      </c>
      <c r="E90" s="6">
        <v>49.4</v>
      </c>
      <c r="F90" s="6">
        <v>47</v>
      </c>
      <c r="G90" s="6">
        <v>12</v>
      </c>
      <c r="H90" s="6">
        <v>9.9</v>
      </c>
      <c r="I90" s="6"/>
      <c r="J90" s="6"/>
      <c r="K90" s="6"/>
      <c r="L90" s="20"/>
      <c r="M90" s="84">
        <f t="shared" si="8"/>
        <v>47</v>
      </c>
      <c r="N90" s="248">
        <f>RHcount!X84</f>
        <v>33.5</v>
      </c>
      <c r="O90" s="17"/>
      <c r="P90" s="17"/>
      <c r="Q90" s="17"/>
      <c r="R90" s="17"/>
      <c r="S90" s="17"/>
      <c r="T90" s="17"/>
      <c r="U90" s="4"/>
      <c r="V90" s="4"/>
    </row>
    <row r="91" spans="1:22" x14ac:dyDescent="0.25">
      <c r="A91" s="318" t="str">
        <f t="shared" si="9"/>
        <v>Thu</v>
      </c>
      <c r="B91" s="15">
        <v>41284</v>
      </c>
      <c r="C91" s="16">
        <v>0.5</v>
      </c>
      <c r="D91" s="6">
        <v>22.3</v>
      </c>
      <c r="E91" s="6">
        <v>46.3</v>
      </c>
      <c r="F91" s="6">
        <v>50</v>
      </c>
      <c r="G91" s="6">
        <v>13</v>
      </c>
      <c r="H91" s="6">
        <v>9.9</v>
      </c>
      <c r="I91" s="6"/>
      <c r="J91" s="6"/>
      <c r="K91" s="6"/>
      <c r="L91" s="20"/>
      <c r="M91" s="84">
        <f t="shared" si="8"/>
        <v>50</v>
      </c>
      <c r="N91" s="248">
        <f>RHcount!X85</f>
        <v>33.5</v>
      </c>
      <c r="O91" s="17"/>
      <c r="P91" s="17"/>
      <c r="Q91" s="17"/>
      <c r="R91" s="17"/>
      <c r="S91" s="17"/>
      <c r="T91" s="17"/>
      <c r="U91" s="4"/>
      <c r="V91" s="4"/>
    </row>
    <row r="92" spans="1:22" x14ac:dyDescent="0.25">
      <c r="A92" s="318" t="str">
        <f t="shared" si="9"/>
        <v>Sat</v>
      </c>
      <c r="B92" s="15"/>
      <c r="C92" s="16"/>
      <c r="D92" s="6"/>
      <c r="E92" s="6"/>
      <c r="F92" s="6"/>
      <c r="G92" s="6"/>
      <c r="H92" s="6"/>
      <c r="I92" s="6"/>
      <c r="J92" s="6"/>
      <c r="K92" s="6"/>
      <c r="L92" s="20"/>
      <c r="M92" s="84">
        <f t="shared" si="8"/>
        <v>0</v>
      </c>
      <c r="N92" s="248">
        <f>RHcount!X86</f>
        <v>33.5</v>
      </c>
      <c r="O92" s="17"/>
      <c r="P92" s="17"/>
      <c r="Q92" s="17"/>
      <c r="R92" s="17"/>
      <c r="S92" s="17"/>
      <c r="T92" s="17"/>
      <c r="U92" s="4"/>
      <c r="V92" s="4"/>
    </row>
    <row r="93" spans="1:22" x14ac:dyDescent="0.25">
      <c r="A93" s="318" t="str">
        <f t="shared" si="9"/>
        <v>Sat</v>
      </c>
      <c r="B93" s="15"/>
      <c r="C93" s="16"/>
      <c r="D93" s="6"/>
      <c r="E93" s="6"/>
      <c r="F93" s="6"/>
      <c r="G93" s="6"/>
      <c r="H93" s="6"/>
      <c r="I93" s="6"/>
      <c r="J93" s="6"/>
      <c r="K93" s="6"/>
      <c r="L93" s="20"/>
      <c r="M93" s="84">
        <f t="shared" si="8"/>
        <v>0</v>
      </c>
      <c r="N93" s="248">
        <f>RHcount!X87</f>
        <v>33.5</v>
      </c>
      <c r="O93" s="17"/>
      <c r="P93" s="17"/>
      <c r="Q93" s="17"/>
      <c r="R93" s="17"/>
      <c r="S93" s="17"/>
      <c r="T93" s="17"/>
      <c r="U93" s="4"/>
      <c r="V93" s="4"/>
    </row>
    <row r="94" spans="1:22" x14ac:dyDescent="0.25">
      <c r="A94" s="318" t="str">
        <f t="shared" si="9"/>
        <v>Sat</v>
      </c>
      <c r="B94" s="15"/>
      <c r="C94" s="16"/>
      <c r="D94" s="6"/>
      <c r="E94" s="6"/>
      <c r="F94" s="6"/>
      <c r="G94" s="6"/>
      <c r="H94" s="6"/>
      <c r="I94" s="6"/>
      <c r="J94" s="6"/>
      <c r="K94" s="6"/>
      <c r="L94" s="20"/>
      <c r="M94" s="84">
        <f t="shared" si="8"/>
        <v>0</v>
      </c>
      <c r="N94" s="248">
        <f>RHcount!X88</f>
        <v>33.5</v>
      </c>
      <c r="O94" s="17"/>
      <c r="P94" s="17"/>
      <c r="Q94" s="17"/>
      <c r="R94" s="17"/>
      <c r="S94" s="17"/>
      <c r="T94" s="17"/>
      <c r="U94" s="4"/>
      <c r="V94" s="4"/>
    </row>
    <row r="95" spans="1:22" x14ac:dyDescent="0.25">
      <c r="A95" s="318" t="str">
        <f t="shared" si="9"/>
        <v>Sat</v>
      </c>
      <c r="B95" s="15"/>
      <c r="C95" s="16"/>
      <c r="D95" s="6"/>
      <c r="E95" s="6"/>
      <c r="F95" s="6"/>
      <c r="G95" s="6"/>
      <c r="H95" s="6"/>
      <c r="I95" s="6"/>
      <c r="J95" s="6"/>
      <c r="K95" s="6"/>
      <c r="L95" s="20"/>
      <c r="M95" s="84">
        <f t="shared" si="8"/>
        <v>0</v>
      </c>
      <c r="N95" s="248">
        <f>RHcount!X89</f>
        <v>33.5</v>
      </c>
      <c r="O95" s="17"/>
      <c r="P95" s="17"/>
      <c r="Q95" s="17"/>
      <c r="R95" s="17"/>
      <c r="S95" s="17"/>
      <c r="T95" s="17"/>
      <c r="U95" s="4"/>
      <c r="V95" s="4"/>
    </row>
    <row r="96" spans="1:22" x14ac:dyDescent="0.25">
      <c r="A96" s="318" t="str">
        <f t="shared" si="9"/>
        <v>Sat</v>
      </c>
      <c r="B96" s="15"/>
      <c r="C96" s="16"/>
      <c r="D96" s="6"/>
      <c r="E96" s="6"/>
      <c r="F96" s="6"/>
      <c r="G96" s="6"/>
      <c r="H96" s="6"/>
      <c r="I96" s="6"/>
      <c r="J96" s="6"/>
      <c r="K96" s="6"/>
      <c r="L96" s="20"/>
      <c r="M96" s="84">
        <f t="shared" si="8"/>
        <v>0</v>
      </c>
      <c r="N96" s="248">
        <f>RHcount!X90</f>
        <v>33.5</v>
      </c>
      <c r="O96" s="17"/>
      <c r="P96" s="17"/>
      <c r="Q96" s="17"/>
      <c r="R96" s="17"/>
      <c r="S96" s="17"/>
      <c r="T96" s="17"/>
      <c r="U96" s="4"/>
      <c r="V96" s="4"/>
    </row>
    <row r="97" spans="1:22" x14ac:dyDescent="0.25">
      <c r="A97" s="318" t="str">
        <f t="shared" si="9"/>
        <v>Sat</v>
      </c>
      <c r="B97" s="15"/>
      <c r="C97" s="16"/>
      <c r="D97" s="6"/>
      <c r="E97" s="6"/>
      <c r="F97" s="6"/>
      <c r="G97" s="6"/>
      <c r="H97" s="6"/>
      <c r="I97" s="6"/>
      <c r="J97" s="6"/>
      <c r="K97" s="6"/>
      <c r="L97" s="20"/>
      <c r="M97" s="84">
        <f t="shared" si="8"/>
        <v>0</v>
      </c>
      <c r="N97" s="248">
        <f>RHcount!X91</f>
        <v>33.5</v>
      </c>
      <c r="O97" s="17"/>
      <c r="P97" s="17"/>
      <c r="Q97" s="17"/>
      <c r="R97" s="17"/>
      <c r="S97" s="17"/>
      <c r="T97" s="17"/>
      <c r="U97" s="4"/>
      <c r="V97" s="4"/>
    </row>
    <row r="98" spans="1:22" x14ac:dyDescent="0.25">
      <c r="A98" s="318" t="str">
        <f t="shared" si="9"/>
        <v>Sat</v>
      </c>
      <c r="B98" s="15"/>
      <c r="C98" s="16"/>
      <c r="D98" s="6"/>
      <c r="E98" s="6"/>
      <c r="F98" s="6"/>
      <c r="G98" s="6"/>
      <c r="H98" s="6"/>
      <c r="I98" s="6"/>
      <c r="J98" s="6"/>
      <c r="K98" s="6"/>
      <c r="L98" s="20"/>
      <c r="M98" s="84">
        <f t="shared" si="8"/>
        <v>0</v>
      </c>
      <c r="N98" s="248">
        <f>RHcount!X92</f>
        <v>33.5</v>
      </c>
      <c r="O98" s="17"/>
      <c r="P98" s="17"/>
      <c r="Q98" s="17"/>
      <c r="R98" s="17"/>
      <c r="S98" s="17"/>
      <c r="T98" s="17"/>
      <c r="U98" s="4"/>
      <c r="V98" s="4"/>
    </row>
    <row r="99" spans="1:22" x14ac:dyDescent="0.25">
      <c r="A99" s="318" t="str">
        <f t="shared" si="9"/>
        <v>Sat</v>
      </c>
      <c r="B99" s="15"/>
      <c r="C99" s="16"/>
      <c r="D99" s="6"/>
      <c r="E99" s="6"/>
      <c r="F99" s="6"/>
      <c r="G99" s="6"/>
      <c r="H99" s="6"/>
      <c r="I99" s="6"/>
      <c r="J99" s="6"/>
      <c r="K99" s="6"/>
      <c r="L99" s="20"/>
      <c r="M99" s="84">
        <f t="shared" si="8"/>
        <v>0</v>
      </c>
      <c r="N99" s="248">
        <f>RHcount!X93</f>
        <v>33.5</v>
      </c>
      <c r="O99" s="17"/>
      <c r="P99" s="17"/>
      <c r="Q99" s="17"/>
      <c r="R99" s="17"/>
      <c r="S99" s="17"/>
      <c r="T99" s="17"/>
      <c r="U99" s="4"/>
      <c r="V99" s="4"/>
    </row>
    <row r="100" spans="1:22" x14ac:dyDescent="0.25">
      <c r="A100" s="318" t="str">
        <f t="shared" si="9"/>
        <v>Sat</v>
      </c>
      <c r="B100" s="15"/>
      <c r="C100" s="16"/>
      <c r="D100" s="6"/>
      <c r="E100" s="6"/>
      <c r="F100" s="6"/>
      <c r="G100" s="6"/>
      <c r="H100" s="6"/>
      <c r="I100" s="6"/>
      <c r="J100" s="6"/>
      <c r="K100" s="6"/>
      <c r="L100" s="20"/>
      <c r="M100" s="84">
        <f t="shared" si="8"/>
        <v>0</v>
      </c>
      <c r="N100" s="248">
        <f>RHcount!X94</f>
        <v>33.5</v>
      </c>
      <c r="O100" s="17"/>
      <c r="P100" s="17"/>
      <c r="Q100" s="17"/>
      <c r="R100" s="17"/>
      <c r="S100" s="17"/>
      <c r="T100" s="17"/>
      <c r="U100" s="4"/>
      <c r="V100" s="4"/>
    </row>
    <row r="101" spans="1:22" x14ac:dyDescent="0.25">
      <c r="A101" s="318" t="str">
        <f t="shared" si="9"/>
        <v>Sat</v>
      </c>
      <c r="B101" s="15"/>
      <c r="C101" s="16"/>
      <c r="D101" s="6"/>
      <c r="E101" s="6"/>
      <c r="F101" s="6"/>
      <c r="G101" s="6"/>
      <c r="H101" s="6"/>
      <c r="I101" s="6"/>
      <c r="J101" s="6"/>
      <c r="K101" s="6"/>
      <c r="L101" s="20"/>
      <c r="M101" s="84">
        <f t="shared" si="8"/>
        <v>0</v>
      </c>
      <c r="N101" s="248">
        <f>RHcount!X95</f>
        <v>33.5</v>
      </c>
      <c r="O101" s="17"/>
      <c r="P101" s="17"/>
      <c r="Q101" s="17"/>
      <c r="R101" s="17"/>
      <c r="S101" s="17"/>
      <c r="T101" s="17"/>
      <c r="U101" s="4"/>
      <c r="V101" s="4"/>
    </row>
    <row r="102" spans="1:22" x14ac:dyDescent="0.25">
      <c r="A102" s="318" t="str">
        <f t="shared" si="9"/>
        <v>Sat</v>
      </c>
      <c r="B102" s="15"/>
      <c r="C102" s="16"/>
      <c r="D102" s="6"/>
      <c r="E102" s="6"/>
      <c r="F102" s="6"/>
      <c r="G102" s="6"/>
      <c r="H102" s="6"/>
      <c r="I102" s="6"/>
      <c r="J102" s="6"/>
      <c r="K102" s="6"/>
      <c r="L102" s="20"/>
      <c r="M102" s="84">
        <f t="shared" si="8"/>
        <v>0</v>
      </c>
      <c r="N102" s="248">
        <f>RHcount!X96</f>
        <v>33.5</v>
      </c>
      <c r="O102" s="17"/>
      <c r="P102" s="17"/>
      <c r="Q102" s="17"/>
      <c r="R102" s="17"/>
      <c r="S102" s="17"/>
      <c r="T102" s="17"/>
      <c r="U102" s="4"/>
      <c r="V102" s="4"/>
    </row>
    <row r="103" spans="1:22" x14ac:dyDescent="0.25">
      <c r="A103" s="318" t="str">
        <f t="shared" si="9"/>
        <v>Sat</v>
      </c>
      <c r="B103" s="15"/>
      <c r="C103" s="16"/>
      <c r="D103" s="6"/>
      <c r="E103" s="6"/>
      <c r="F103" s="6"/>
      <c r="G103" s="6"/>
      <c r="H103" s="6"/>
      <c r="I103" s="6"/>
      <c r="J103" s="6"/>
      <c r="K103" s="6"/>
      <c r="L103" s="20"/>
      <c r="M103" s="84">
        <f t="shared" si="8"/>
        <v>0</v>
      </c>
      <c r="N103" s="248">
        <f>RHcount!X97</f>
        <v>33.5</v>
      </c>
      <c r="O103" s="17"/>
      <c r="P103" s="17"/>
      <c r="Q103" s="17"/>
      <c r="R103" s="17"/>
      <c r="S103" s="17"/>
      <c r="T103" s="17"/>
      <c r="U103" s="4"/>
      <c r="V103" s="4"/>
    </row>
    <row r="104" spans="1:22" x14ac:dyDescent="0.25">
      <c r="A104" s="318" t="str">
        <f t="shared" si="9"/>
        <v>Sat</v>
      </c>
      <c r="B104" s="15"/>
      <c r="C104" s="16"/>
      <c r="D104" s="6"/>
      <c r="E104" s="6"/>
      <c r="F104" s="6"/>
      <c r="G104" s="6"/>
      <c r="H104" s="6"/>
      <c r="I104" s="6"/>
      <c r="J104" s="6"/>
      <c r="K104" s="6"/>
      <c r="L104" s="20"/>
      <c r="M104" s="84">
        <f t="shared" si="8"/>
        <v>0</v>
      </c>
      <c r="N104" s="248">
        <f>RHcount!X98</f>
        <v>33.5</v>
      </c>
      <c r="O104" s="17"/>
      <c r="P104" s="17"/>
      <c r="Q104" s="17"/>
      <c r="R104" s="17"/>
      <c r="S104" s="17"/>
      <c r="T104" s="17"/>
      <c r="U104" s="4"/>
      <c r="V104" s="4"/>
    </row>
    <row r="105" spans="1:22" x14ac:dyDescent="0.25">
      <c r="A105" s="318" t="str">
        <f t="shared" si="9"/>
        <v>Sat</v>
      </c>
      <c r="B105" s="15"/>
      <c r="C105" s="16"/>
      <c r="D105" s="6"/>
      <c r="E105" s="6"/>
      <c r="F105" s="6"/>
      <c r="G105" s="6"/>
      <c r="H105" s="6"/>
      <c r="I105" s="6"/>
      <c r="J105" s="6"/>
      <c r="K105" s="6"/>
      <c r="L105" s="20"/>
      <c r="M105" s="84">
        <f t="shared" si="8"/>
        <v>0</v>
      </c>
      <c r="N105" s="248">
        <f>RHcount!X99</f>
        <v>33.5</v>
      </c>
      <c r="O105" s="17"/>
      <c r="P105" s="17"/>
      <c r="Q105" s="17"/>
      <c r="R105" s="17"/>
      <c r="S105" s="17"/>
      <c r="T105" s="17"/>
      <c r="U105" s="4"/>
      <c r="V105" s="4"/>
    </row>
    <row r="106" spans="1:22" x14ac:dyDescent="0.25">
      <c r="A106" s="318" t="str">
        <f t="shared" si="9"/>
        <v>Sat</v>
      </c>
      <c r="B106" s="15"/>
      <c r="C106" s="16"/>
      <c r="D106" s="6"/>
      <c r="E106" s="6"/>
      <c r="F106" s="6"/>
      <c r="G106" s="6"/>
      <c r="H106" s="6"/>
      <c r="I106" s="6"/>
      <c r="J106" s="6"/>
      <c r="K106" s="6"/>
      <c r="L106" s="20"/>
      <c r="M106" s="84">
        <f t="shared" si="8"/>
        <v>0</v>
      </c>
      <c r="N106" s="248">
        <f>RHcount!X100</f>
        <v>33.5</v>
      </c>
      <c r="O106" s="17"/>
      <c r="P106" s="17"/>
      <c r="Q106" s="17"/>
      <c r="R106" s="17"/>
      <c r="S106" s="17"/>
      <c r="T106" s="17"/>
      <c r="U106" s="4"/>
      <c r="V106" s="4"/>
    </row>
    <row r="107" spans="1:22" x14ac:dyDescent="0.25">
      <c r="A107" s="318" t="str">
        <f t="shared" si="9"/>
        <v>Sat</v>
      </c>
      <c r="B107" s="15"/>
      <c r="C107" s="16"/>
      <c r="D107" s="6"/>
      <c r="E107" s="6"/>
      <c r="F107" s="6"/>
      <c r="G107" s="6"/>
      <c r="H107" s="6"/>
      <c r="I107" s="6"/>
      <c r="J107" s="6"/>
      <c r="K107" s="6"/>
      <c r="L107" s="20"/>
      <c r="M107" s="84">
        <f t="shared" si="8"/>
        <v>0</v>
      </c>
      <c r="N107" s="248">
        <f>RHcount!X101</f>
        <v>33.5</v>
      </c>
      <c r="O107" s="17"/>
      <c r="P107" s="17"/>
      <c r="Q107" s="17"/>
      <c r="R107" s="17"/>
      <c r="S107" s="17"/>
      <c r="T107" s="17"/>
      <c r="U107" s="4"/>
      <c r="V107" s="4"/>
    </row>
    <row r="108" spans="1:22" x14ac:dyDescent="0.25">
      <c r="A108" s="318" t="str">
        <f t="shared" si="9"/>
        <v>Sat</v>
      </c>
      <c r="B108" s="15"/>
      <c r="C108" s="16"/>
      <c r="D108" s="6"/>
      <c r="E108" s="6"/>
      <c r="F108" s="6"/>
      <c r="G108" s="6"/>
      <c r="H108" s="6"/>
      <c r="I108" s="6"/>
      <c r="J108" s="6"/>
      <c r="K108" s="6"/>
      <c r="L108" s="20"/>
      <c r="M108" s="84">
        <f t="shared" si="8"/>
        <v>0</v>
      </c>
      <c r="N108" s="248">
        <f>RHcount!X102</f>
        <v>33.5</v>
      </c>
      <c r="O108" s="17"/>
      <c r="P108" s="17"/>
      <c r="Q108" s="17"/>
      <c r="R108" s="17"/>
      <c r="S108" s="17"/>
      <c r="T108" s="17"/>
      <c r="U108" s="4"/>
      <c r="V108" s="4"/>
    </row>
    <row r="109" spans="1:22" x14ac:dyDescent="0.25">
      <c r="A109" s="318" t="str">
        <f t="shared" si="9"/>
        <v>Sat</v>
      </c>
      <c r="B109" s="15"/>
      <c r="C109" s="16"/>
      <c r="D109" s="6"/>
      <c r="E109" s="6"/>
      <c r="F109" s="6"/>
      <c r="G109" s="6"/>
      <c r="H109" s="6"/>
      <c r="I109" s="6"/>
      <c r="J109" s="6"/>
      <c r="K109" s="6"/>
      <c r="L109" s="20"/>
      <c r="M109" s="84">
        <f t="shared" si="8"/>
        <v>0</v>
      </c>
      <c r="N109" s="248">
        <f>RHcount!X103</f>
        <v>33.5</v>
      </c>
      <c r="O109" s="17"/>
      <c r="P109" s="17"/>
      <c r="Q109" s="17"/>
      <c r="R109" s="17"/>
      <c r="S109" s="17"/>
      <c r="T109" s="17"/>
      <c r="U109" s="4"/>
      <c r="V109" s="4"/>
    </row>
    <row r="110" spans="1:22" x14ac:dyDescent="0.25">
      <c r="A110" s="318" t="str">
        <f t="shared" si="9"/>
        <v>Sat</v>
      </c>
      <c r="B110" s="15"/>
      <c r="C110" s="16"/>
      <c r="D110" s="6"/>
      <c r="E110" s="6"/>
      <c r="F110" s="6"/>
      <c r="G110" s="6"/>
      <c r="H110" s="6"/>
      <c r="I110" s="6"/>
      <c r="J110" s="6"/>
      <c r="K110" s="6"/>
      <c r="L110" s="20"/>
      <c r="M110" s="84">
        <f t="shared" si="8"/>
        <v>0</v>
      </c>
      <c r="N110" s="248">
        <f>RHcount!X104</f>
        <v>33.5</v>
      </c>
      <c r="O110" s="17"/>
      <c r="P110" s="17"/>
      <c r="Q110" s="17"/>
      <c r="R110" s="17"/>
      <c r="S110" s="17"/>
      <c r="T110" s="17"/>
      <c r="U110" s="4"/>
      <c r="V110" s="4"/>
    </row>
    <row r="111" spans="1:22" x14ac:dyDescent="0.25">
      <c r="A111" s="318" t="str">
        <f t="shared" si="9"/>
        <v>Sat</v>
      </c>
      <c r="B111" s="15"/>
      <c r="C111" s="16"/>
      <c r="D111" s="6"/>
      <c r="E111" s="6"/>
      <c r="F111" s="6"/>
      <c r="G111" s="6"/>
      <c r="H111" s="6"/>
      <c r="I111" s="6"/>
      <c r="J111" s="6"/>
      <c r="K111" s="6"/>
      <c r="L111" s="20"/>
      <c r="M111" s="84">
        <f t="shared" si="8"/>
        <v>0</v>
      </c>
      <c r="N111" s="248">
        <f>RHcount!X105</f>
        <v>33.5</v>
      </c>
      <c r="O111" s="17"/>
      <c r="P111" s="17"/>
      <c r="Q111" s="17"/>
      <c r="R111" s="17"/>
      <c r="S111" s="17"/>
      <c r="T111" s="17"/>
      <c r="U111" s="4"/>
      <c r="V111" s="4"/>
    </row>
    <row r="112" spans="1:22" x14ac:dyDescent="0.25">
      <c r="A112" s="318" t="str">
        <f t="shared" si="9"/>
        <v>Sat</v>
      </c>
      <c r="B112" s="15"/>
      <c r="C112" s="16"/>
      <c r="D112" s="6"/>
      <c r="E112" s="6"/>
      <c r="F112" s="6"/>
      <c r="G112" s="6"/>
      <c r="H112" s="6"/>
      <c r="I112" s="6"/>
      <c r="J112" s="6"/>
      <c r="K112" s="6"/>
      <c r="L112" s="20"/>
      <c r="M112" s="84">
        <f t="shared" si="8"/>
        <v>0</v>
      </c>
      <c r="N112" s="248">
        <f>RHcount!X106</f>
        <v>33.5</v>
      </c>
      <c r="O112" s="17"/>
      <c r="P112" s="17"/>
      <c r="Q112" s="17"/>
      <c r="R112" s="17"/>
      <c r="S112" s="17"/>
      <c r="T112" s="17"/>
      <c r="U112" s="4"/>
      <c r="V112" s="4"/>
    </row>
    <row r="113" spans="1:22" x14ac:dyDescent="0.25">
      <c r="A113" s="318" t="str">
        <f t="shared" si="9"/>
        <v>Sat</v>
      </c>
      <c r="B113" s="15"/>
      <c r="C113" s="16"/>
      <c r="D113" s="6"/>
      <c r="E113" s="6"/>
      <c r="F113" s="6"/>
      <c r="G113" s="6"/>
      <c r="H113" s="6"/>
      <c r="I113" s="6"/>
      <c r="J113" s="6"/>
      <c r="K113" s="6"/>
      <c r="L113" s="20"/>
      <c r="M113" s="84">
        <f t="shared" si="8"/>
        <v>0</v>
      </c>
      <c r="N113" s="248">
        <f>RHcount!X107</f>
        <v>33.5</v>
      </c>
      <c r="O113" s="17"/>
      <c r="P113" s="17"/>
      <c r="Q113" s="17"/>
      <c r="R113" s="17"/>
      <c r="S113" s="17"/>
      <c r="T113" s="17"/>
      <c r="U113" s="4"/>
      <c r="V113" s="4"/>
    </row>
    <row r="114" spans="1:22" x14ac:dyDescent="0.25">
      <c r="A114" s="318" t="str">
        <f t="shared" si="9"/>
        <v>Sat</v>
      </c>
      <c r="B114" s="15"/>
      <c r="C114" s="16"/>
      <c r="D114" s="6"/>
      <c r="E114" s="6"/>
      <c r="F114" s="6"/>
      <c r="G114" s="6"/>
      <c r="H114" s="6"/>
      <c r="I114" s="6"/>
      <c r="J114" s="6"/>
      <c r="K114" s="6"/>
      <c r="L114" s="20"/>
      <c r="M114" s="84">
        <f t="shared" si="8"/>
        <v>0</v>
      </c>
      <c r="N114" s="248">
        <f>RHcount!X108</f>
        <v>33.5</v>
      </c>
      <c r="O114" s="17"/>
      <c r="P114" s="17"/>
      <c r="Q114" s="17"/>
      <c r="R114" s="17"/>
      <c r="S114" s="17"/>
      <c r="T114" s="17"/>
      <c r="U114" s="4"/>
      <c r="V114" s="4"/>
    </row>
    <row r="115" spans="1:22" x14ac:dyDescent="0.25">
      <c r="A115" s="318" t="str">
        <f t="shared" si="9"/>
        <v>Sat</v>
      </c>
      <c r="B115" s="15"/>
      <c r="C115" s="16"/>
      <c r="D115" s="6"/>
      <c r="E115" s="6"/>
      <c r="F115" s="6"/>
      <c r="G115" s="6"/>
      <c r="H115" s="6"/>
      <c r="I115" s="6"/>
      <c r="J115" s="6"/>
      <c r="K115" s="6"/>
      <c r="L115" s="20"/>
      <c r="M115" s="84">
        <f t="shared" si="8"/>
        <v>0</v>
      </c>
      <c r="N115" s="248">
        <f>RHcount!X109</f>
        <v>33.5</v>
      </c>
      <c r="O115" s="17"/>
      <c r="P115" s="17"/>
      <c r="Q115" s="17"/>
      <c r="R115" s="17"/>
      <c r="S115" s="17"/>
      <c r="T115" s="17"/>
      <c r="U115" s="4"/>
      <c r="V115" s="4"/>
    </row>
    <row r="116" spans="1:22" x14ac:dyDescent="0.25">
      <c r="A116" s="318" t="str">
        <f t="shared" si="9"/>
        <v>Sat</v>
      </c>
      <c r="B116" s="15"/>
      <c r="C116" s="16"/>
      <c r="D116" s="6"/>
      <c r="E116" s="6"/>
      <c r="F116" s="6"/>
      <c r="G116" s="6"/>
      <c r="H116" s="6"/>
      <c r="I116" s="6"/>
      <c r="J116" s="6"/>
      <c r="K116" s="6"/>
      <c r="L116" s="20"/>
      <c r="M116" s="84">
        <f t="shared" si="8"/>
        <v>0</v>
      </c>
      <c r="N116" s="248">
        <f>RHcount!X110</f>
        <v>33.5</v>
      </c>
      <c r="O116" s="17"/>
      <c r="P116" s="17"/>
      <c r="Q116" s="17"/>
      <c r="R116" s="17"/>
      <c r="S116" s="17"/>
      <c r="T116" s="17"/>
      <c r="U116" s="4"/>
      <c r="V116" s="4"/>
    </row>
    <row r="117" spans="1:22" x14ac:dyDescent="0.25">
      <c r="A117" s="318" t="str">
        <f t="shared" si="9"/>
        <v>Sat</v>
      </c>
      <c r="B117" s="15"/>
      <c r="C117" s="16"/>
      <c r="D117" s="6"/>
      <c r="E117" s="6"/>
      <c r="F117" s="6"/>
      <c r="G117" s="6"/>
      <c r="H117" s="6"/>
      <c r="I117" s="6"/>
      <c r="J117" s="6"/>
      <c r="K117" s="6"/>
      <c r="L117" s="20"/>
      <c r="M117" s="84">
        <f t="shared" si="8"/>
        <v>0</v>
      </c>
      <c r="N117" s="248">
        <f>RHcount!X111</f>
        <v>33.5</v>
      </c>
      <c r="O117" s="17"/>
      <c r="P117" s="17"/>
      <c r="Q117" s="17"/>
      <c r="R117" s="17"/>
      <c r="S117" s="17"/>
      <c r="T117" s="17"/>
      <c r="U117" s="4"/>
      <c r="V117" s="4"/>
    </row>
    <row r="118" spans="1:22" x14ac:dyDescent="0.25">
      <c r="A118" s="318" t="str">
        <f t="shared" si="9"/>
        <v>Sat</v>
      </c>
      <c r="B118" s="15"/>
      <c r="C118" s="16"/>
      <c r="D118" s="6"/>
      <c r="E118" s="6"/>
      <c r="F118" s="6"/>
      <c r="G118" s="6"/>
      <c r="H118" s="6"/>
      <c r="I118" s="6"/>
      <c r="J118" s="6"/>
      <c r="K118" s="6"/>
      <c r="L118" s="20"/>
      <c r="M118" s="84">
        <f t="shared" si="8"/>
        <v>0</v>
      </c>
      <c r="N118" s="248">
        <f>RHcount!X112</f>
        <v>33.5</v>
      </c>
      <c r="O118" s="17"/>
      <c r="P118" s="17"/>
      <c r="Q118" s="17"/>
      <c r="R118" s="17"/>
      <c r="S118" s="17"/>
      <c r="T118" s="17"/>
      <c r="U118" s="4"/>
      <c r="V118" s="4"/>
    </row>
    <row r="119" spans="1:22" x14ac:dyDescent="0.25">
      <c r="A119" s="318" t="str">
        <f t="shared" si="9"/>
        <v>Sat</v>
      </c>
      <c r="B119" s="15"/>
      <c r="C119" s="16"/>
      <c r="D119" s="6"/>
      <c r="E119" s="6"/>
      <c r="F119" s="6"/>
      <c r="G119" s="6"/>
      <c r="H119" s="6"/>
      <c r="I119" s="6"/>
      <c r="J119" s="6"/>
      <c r="K119" s="6"/>
      <c r="L119" s="20"/>
      <c r="M119" s="84">
        <f t="shared" si="8"/>
        <v>0</v>
      </c>
      <c r="N119" s="248">
        <f>RHcount!X113</f>
        <v>33.5</v>
      </c>
      <c r="O119" s="17"/>
      <c r="P119" s="17"/>
      <c r="Q119" s="17"/>
      <c r="R119" s="17"/>
      <c r="S119" s="17"/>
      <c r="T119" s="17"/>
      <c r="U119" s="4"/>
      <c r="V119" s="4"/>
    </row>
    <row r="120" spans="1:22" x14ac:dyDescent="0.25">
      <c r="A120" s="318" t="str">
        <f t="shared" si="9"/>
        <v>Sat</v>
      </c>
      <c r="B120" s="15"/>
      <c r="C120" s="16"/>
      <c r="D120" s="6"/>
      <c r="E120" s="6"/>
      <c r="F120" s="6"/>
      <c r="G120" s="6"/>
      <c r="H120" s="6"/>
      <c r="I120" s="6"/>
      <c r="J120" s="6"/>
      <c r="K120" s="6"/>
      <c r="L120" s="20"/>
      <c r="M120" s="84">
        <f t="shared" si="8"/>
        <v>0</v>
      </c>
      <c r="N120" s="248">
        <f>RHcount!X114</f>
        <v>33.5</v>
      </c>
      <c r="O120" s="17"/>
      <c r="P120" s="17"/>
      <c r="Q120" s="17"/>
      <c r="R120" s="17"/>
      <c r="S120" s="17"/>
      <c r="T120" s="17"/>
      <c r="U120" s="4"/>
      <c r="V120" s="4"/>
    </row>
    <row r="121" spans="1:22" x14ac:dyDescent="0.25">
      <c r="A121" s="318" t="str">
        <f t="shared" si="9"/>
        <v>Sat</v>
      </c>
      <c r="B121" s="15"/>
      <c r="C121" s="16"/>
      <c r="D121" s="6"/>
      <c r="E121" s="6"/>
      <c r="F121" s="6"/>
      <c r="G121" s="6"/>
      <c r="H121" s="6"/>
      <c r="I121" s="6"/>
      <c r="J121" s="6"/>
      <c r="K121" s="6"/>
      <c r="L121" s="20"/>
      <c r="M121" s="84">
        <f t="shared" si="8"/>
        <v>0</v>
      </c>
      <c r="N121" s="248">
        <f>RHcount!X115</f>
        <v>33.5</v>
      </c>
      <c r="O121" s="17"/>
      <c r="P121" s="17"/>
      <c r="Q121" s="17"/>
      <c r="R121" s="17"/>
      <c r="S121" s="17"/>
      <c r="T121" s="17"/>
      <c r="U121" s="4"/>
      <c r="V121" s="4"/>
    </row>
    <row r="122" spans="1:22" x14ac:dyDescent="0.25">
      <c r="A122" s="318" t="str">
        <f t="shared" si="9"/>
        <v>Sat</v>
      </c>
      <c r="B122" s="15"/>
      <c r="C122" s="16"/>
      <c r="D122" s="6"/>
      <c r="E122" s="6"/>
      <c r="F122" s="6"/>
      <c r="G122" s="6"/>
      <c r="H122" s="6"/>
      <c r="I122" s="6"/>
      <c r="J122" s="6"/>
      <c r="K122" s="6"/>
      <c r="L122" s="20"/>
      <c r="M122" s="84">
        <f t="shared" si="8"/>
        <v>0</v>
      </c>
      <c r="N122" s="248">
        <f>RHcount!X116</f>
        <v>33.5</v>
      </c>
      <c r="O122" s="17"/>
      <c r="P122" s="17"/>
      <c r="Q122" s="17"/>
      <c r="R122" s="17"/>
      <c r="S122" s="17"/>
      <c r="T122" s="17"/>
      <c r="U122" s="4"/>
      <c r="V122" s="4"/>
    </row>
    <row r="123" spans="1:22" x14ac:dyDescent="0.25">
      <c r="A123" s="318" t="str">
        <f t="shared" si="9"/>
        <v>Sat</v>
      </c>
      <c r="B123" s="15"/>
      <c r="C123" s="16"/>
      <c r="D123" s="6"/>
      <c r="E123" s="6"/>
      <c r="F123" s="6"/>
      <c r="G123" s="6"/>
      <c r="H123" s="6"/>
      <c r="I123" s="6"/>
      <c r="J123" s="6"/>
      <c r="K123" s="6"/>
      <c r="L123" s="20"/>
      <c r="M123" s="84">
        <f t="shared" si="8"/>
        <v>0</v>
      </c>
      <c r="N123" s="248">
        <f>RHcount!X117</f>
        <v>33.5</v>
      </c>
      <c r="O123" s="17"/>
      <c r="P123" s="17"/>
      <c r="Q123" s="17"/>
      <c r="R123" s="17"/>
      <c r="S123" s="17"/>
      <c r="T123" s="17"/>
      <c r="U123" s="4"/>
      <c r="V123" s="4"/>
    </row>
    <row r="124" spans="1:22" x14ac:dyDescent="0.25">
      <c r="A124" s="318" t="str">
        <f t="shared" si="9"/>
        <v>Sat</v>
      </c>
      <c r="B124" s="15"/>
      <c r="C124" s="16"/>
      <c r="D124" s="6"/>
      <c r="E124" s="6"/>
      <c r="F124" s="6"/>
      <c r="G124" s="6"/>
      <c r="H124" s="6"/>
      <c r="I124" s="6"/>
      <c r="J124" s="6"/>
      <c r="K124" s="6"/>
      <c r="L124" s="20"/>
      <c r="M124" s="84">
        <f t="shared" si="8"/>
        <v>0</v>
      </c>
      <c r="N124" s="248">
        <f>RHcount!X118</f>
        <v>33.5</v>
      </c>
      <c r="O124" s="17"/>
      <c r="P124" s="17"/>
      <c r="Q124" s="17"/>
      <c r="R124" s="17"/>
      <c r="S124" s="17"/>
      <c r="T124" s="17"/>
      <c r="U124" s="4"/>
      <c r="V124" s="4"/>
    </row>
    <row r="125" spans="1:22" x14ac:dyDescent="0.25">
      <c r="A125" s="318" t="str">
        <f t="shared" si="9"/>
        <v>Sat</v>
      </c>
      <c r="B125" s="15"/>
      <c r="C125" s="16"/>
      <c r="D125" s="6"/>
      <c r="E125" s="6"/>
      <c r="F125" s="6"/>
      <c r="G125" s="6"/>
      <c r="H125" s="6"/>
      <c r="I125" s="6"/>
      <c r="J125" s="6"/>
      <c r="K125" s="6"/>
      <c r="L125" s="20"/>
      <c r="M125" s="84">
        <f t="shared" si="8"/>
        <v>0</v>
      </c>
      <c r="N125" s="248">
        <f>RHcount!X119</f>
        <v>33.5</v>
      </c>
      <c r="O125" s="17"/>
      <c r="P125" s="17"/>
      <c r="Q125" s="17"/>
      <c r="R125" s="17"/>
      <c r="S125" s="17"/>
      <c r="T125" s="17"/>
      <c r="U125" s="4"/>
      <c r="V125" s="4"/>
    </row>
    <row r="126" spans="1:22" x14ac:dyDescent="0.25">
      <c r="A126" s="318" t="str">
        <f t="shared" si="9"/>
        <v>Sat</v>
      </c>
      <c r="B126" s="15"/>
      <c r="C126" s="16"/>
      <c r="D126" s="6"/>
      <c r="E126" s="6"/>
      <c r="F126" s="6"/>
      <c r="G126" s="6"/>
      <c r="H126" s="6"/>
      <c r="I126" s="6"/>
      <c r="J126" s="6"/>
      <c r="K126" s="6"/>
      <c r="L126" s="20"/>
      <c r="M126" s="84">
        <f t="shared" si="8"/>
        <v>0</v>
      </c>
      <c r="N126" s="248">
        <f>RHcount!X120</f>
        <v>33.5</v>
      </c>
      <c r="O126" s="17"/>
      <c r="P126" s="17"/>
      <c r="Q126" s="17"/>
      <c r="R126" s="17"/>
      <c r="S126" s="17"/>
      <c r="T126" s="17"/>
      <c r="U126" s="4"/>
      <c r="V126" s="4"/>
    </row>
    <row r="127" spans="1:22" x14ac:dyDescent="0.25">
      <c r="A127" s="318" t="str">
        <f t="shared" si="9"/>
        <v>Sat</v>
      </c>
      <c r="B127" s="15"/>
      <c r="C127" s="16"/>
      <c r="D127" s="6"/>
      <c r="E127" s="6"/>
      <c r="F127" s="6"/>
      <c r="G127" s="6"/>
      <c r="H127" s="6"/>
      <c r="I127" s="6"/>
      <c r="J127" s="6"/>
      <c r="K127" s="6"/>
      <c r="L127" s="20"/>
      <c r="M127" s="84">
        <f t="shared" si="8"/>
        <v>0</v>
      </c>
      <c r="N127" s="248">
        <f>RHcount!X121</f>
        <v>33.5</v>
      </c>
      <c r="O127" s="17"/>
      <c r="P127" s="17"/>
      <c r="Q127" s="17"/>
      <c r="R127" s="17"/>
      <c r="S127" s="17"/>
      <c r="T127" s="17"/>
      <c r="U127" s="4"/>
      <c r="V127" s="4"/>
    </row>
    <row r="128" spans="1:22" x14ac:dyDescent="0.25">
      <c r="A128" s="318" t="str">
        <f t="shared" si="9"/>
        <v>Sat</v>
      </c>
      <c r="B128" s="15"/>
      <c r="C128" s="16"/>
      <c r="D128" s="6"/>
      <c r="E128" s="6"/>
      <c r="F128" s="6"/>
      <c r="G128" s="6"/>
      <c r="H128" s="6"/>
      <c r="I128" s="6"/>
      <c r="J128" s="6"/>
      <c r="K128" s="6"/>
      <c r="L128" s="20"/>
      <c r="M128" s="84">
        <f t="shared" si="8"/>
        <v>0</v>
      </c>
      <c r="N128" s="248">
        <f>RHcount!X122</f>
        <v>33.5</v>
      </c>
      <c r="O128" s="17"/>
      <c r="P128" s="17"/>
      <c r="Q128" s="17"/>
      <c r="R128" s="17"/>
      <c r="S128" s="17"/>
      <c r="T128" s="17"/>
      <c r="U128" s="4"/>
      <c r="V128" s="4"/>
    </row>
    <row r="129" spans="1:22" x14ac:dyDescent="0.25">
      <c r="A129" s="318" t="str">
        <f t="shared" si="9"/>
        <v>Sat</v>
      </c>
      <c r="B129" s="15"/>
      <c r="C129" s="16"/>
      <c r="D129" s="6"/>
      <c r="E129" s="6"/>
      <c r="F129" s="6"/>
      <c r="G129" s="6"/>
      <c r="H129" s="6"/>
      <c r="I129" s="6"/>
      <c r="J129" s="6"/>
      <c r="K129" s="6"/>
      <c r="L129" s="20"/>
      <c r="M129" s="84">
        <f t="shared" si="8"/>
        <v>0</v>
      </c>
      <c r="N129" s="248">
        <f>RHcount!X123</f>
        <v>33.5</v>
      </c>
      <c r="O129" s="17"/>
      <c r="P129" s="17"/>
      <c r="Q129" s="17"/>
      <c r="R129" s="17"/>
      <c r="S129" s="17"/>
      <c r="T129" s="17"/>
      <c r="U129" s="4"/>
      <c r="V129" s="4"/>
    </row>
    <row r="130" spans="1:22" x14ac:dyDescent="0.25">
      <c r="A130" s="318" t="str">
        <f t="shared" si="9"/>
        <v>Sat</v>
      </c>
      <c r="B130" s="15"/>
      <c r="C130" s="16"/>
      <c r="D130" s="6"/>
      <c r="E130" s="6"/>
      <c r="F130" s="6"/>
      <c r="G130" s="6"/>
      <c r="H130" s="6"/>
      <c r="I130" s="6"/>
      <c r="J130" s="6"/>
      <c r="K130" s="6"/>
      <c r="L130" s="20"/>
      <c r="M130" s="84">
        <f t="shared" si="8"/>
        <v>0</v>
      </c>
      <c r="N130" s="248">
        <f>RHcount!X124</f>
        <v>33.5</v>
      </c>
      <c r="O130" s="17"/>
      <c r="P130" s="17"/>
      <c r="Q130" s="17"/>
      <c r="R130" s="17"/>
      <c r="S130" s="17"/>
      <c r="T130" s="17"/>
      <c r="U130" s="4"/>
      <c r="V130" s="4"/>
    </row>
    <row r="131" spans="1:22" x14ac:dyDescent="0.25">
      <c r="A131" s="318" t="str">
        <f t="shared" si="9"/>
        <v>Sat</v>
      </c>
      <c r="B131" s="15"/>
      <c r="C131" s="16"/>
      <c r="D131" s="6"/>
      <c r="E131" s="6"/>
      <c r="F131" s="6"/>
      <c r="G131" s="6"/>
      <c r="H131" s="6"/>
      <c r="I131" s="6"/>
      <c r="J131" s="6"/>
      <c r="K131" s="6"/>
      <c r="L131" s="20"/>
      <c r="M131" s="84">
        <f t="shared" si="8"/>
        <v>0</v>
      </c>
      <c r="N131" s="248">
        <f>RHcount!X125</f>
        <v>33.5</v>
      </c>
      <c r="O131" s="17"/>
      <c r="P131" s="17"/>
      <c r="Q131" s="17"/>
      <c r="R131" s="17"/>
      <c r="S131" s="17"/>
      <c r="T131" s="17"/>
      <c r="U131" s="4"/>
      <c r="V131" s="4"/>
    </row>
    <row r="132" spans="1:22" x14ac:dyDescent="0.25">
      <c r="A132" s="318" t="str">
        <f t="shared" si="9"/>
        <v>Sat</v>
      </c>
      <c r="B132" s="15"/>
      <c r="C132" s="16"/>
      <c r="D132" s="6"/>
      <c r="E132" s="6"/>
      <c r="F132" s="6"/>
      <c r="G132" s="6"/>
      <c r="H132" s="6"/>
      <c r="I132" s="6"/>
      <c r="J132" s="6"/>
      <c r="K132" s="6"/>
      <c r="L132" s="20"/>
      <c r="M132" s="84">
        <f t="shared" si="8"/>
        <v>0</v>
      </c>
      <c r="N132" s="248">
        <f>RHcount!X126</f>
        <v>33.5</v>
      </c>
      <c r="O132" s="17"/>
      <c r="P132" s="17"/>
      <c r="Q132" s="17"/>
      <c r="R132" s="17"/>
      <c r="S132" s="17"/>
      <c r="T132" s="17"/>
      <c r="U132" s="4"/>
      <c r="V132" s="4"/>
    </row>
    <row r="133" spans="1:22" x14ac:dyDescent="0.25">
      <c r="A133" s="318" t="str">
        <f t="shared" si="9"/>
        <v>Sat</v>
      </c>
      <c r="B133" s="15"/>
      <c r="C133" s="16"/>
      <c r="D133" s="6"/>
      <c r="E133" s="6"/>
      <c r="F133" s="6"/>
      <c r="G133" s="6"/>
      <c r="H133" s="6"/>
      <c r="I133" s="6"/>
      <c r="J133" s="6"/>
      <c r="K133" s="6"/>
      <c r="L133" s="20"/>
      <c r="M133" s="84">
        <f t="shared" si="8"/>
        <v>0</v>
      </c>
      <c r="N133" s="248">
        <f>RHcount!X127</f>
        <v>33.5</v>
      </c>
      <c r="O133" s="17"/>
      <c r="P133" s="17"/>
      <c r="Q133" s="17"/>
      <c r="R133" s="17"/>
      <c r="S133" s="17"/>
      <c r="T133" s="17"/>
      <c r="U133" s="4"/>
      <c r="V133" s="4"/>
    </row>
    <row r="134" spans="1:22" x14ac:dyDescent="0.25">
      <c r="A134" s="318" t="str">
        <f t="shared" si="9"/>
        <v>Sat</v>
      </c>
      <c r="B134" s="15"/>
      <c r="C134" s="16"/>
      <c r="D134" s="6"/>
      <c r="E134" s="6"/>
      <c r="F134" s="6"/>
      <c r="G134" s="6"/>
      <c r="H134" s="6"/>
      <c r="I134" s="6"/>
      <c r="J134" s="6"/>
      <c r="K134" s="6"/>
      <c r="L134" s="20"/>
      <c r="M134" s="84">
        <f t="shared" si="8"/>
        <v>0</v>
      </c>
      <c r="N134" s="248">
        <f>RHcount!X128</f>
        <v>33.5</v>
      </c>
      <c r="O134" s="17"/>
      <c r="P134" s="17"/>
      <c r="Q134" s="17"/>
      <c r="R134" s="17"/>
      <c r="S134" s="17"/>
      <c r="T134" s="17"/>
      <c r="U134" s="4"/>
      <c r="V134" s="4"/>
    </row>
    <row r="135" spans="1:22" x14ac:dyDescent="0.25">
      <c r="A135" s="318" t="str">
        <f t="shared" si="9"/>
        <v>Sat</v>
      </c>
      <c r="B135" s="15"/>
      <c r="C135" s="16"/>
      <c r="D135" s="6"/>
      <c r="E135" s="6"/>
      <c r="F135" s="6"/>
      <c r="G135" s="6"/>
      <c r="H135" s="6"/>
      <c r="I135" s="6"/>
      <c r="J135" s="6"/>
      <c r="K135" s="6"/>
      <c r="L135" s="20"/>
      <c r="M135" s="84">
        <f t="shared" si="8"/>
        <v>0</v>
      </c>
      <c r="N135" s="248">
        <f>RHcount!X129</f>
        <v>33.5</v>
      </c>
      <c r="O135" s="17"/>
      <c r="P135" s="17"/>
      <c r="Q135" s="17"/>
      <c r="R135" s="17"/>
      <c r="S135" s="17"/>
      <c r="T135" s="17"/>
      <c r="U135" s="4"/>
      <c r="V135" s="4"/>
    </row>
    <row r="136" spans="1:22" x14ac:dyDescent="0.25">
      <c r="A136" s="318" t="str">
        <f t="shared" si="9"/>
        <v>Sat</v>
      </c>
      <c r="B136" s="15"/>
      <c r="C136" s="16"/>
      <c r="D136" s="6"/>
      <c r="E136" s="6"/>
      <c r="F136" s="6"/>
      <c r="G136" s="6"/>
      <c r="H136" s="6"/>
      <c r="I136" s="6"/>
      <c r="J136" s="6"/>
      <c r="K136" s="6"/>
      <c r="L136" s="20"/>
      <c r="M136" s="84">
        <f t="shared" si="8"/>
        <v>0</v>
      </c>
      <c r="N136" s="248">
        <f>RHcount!X130</f>
        <v>33.5</v>
      </c>
      <c r="O136" s="17"/>
      <c r="P136" s="17"/>
      <c r="Q136" s="17"/>
      <c r="R136" s="17"/>
      <c r="S136" s="17"/>
      <c r="T136" s="17"/>
      <c r="U136" s="4"/>
      <c r="V136" s="4"/>
    </row>
    <row r="137" spans="1:22" x14ac:dyDescent="0.25">
      <c r="A137" s="318" t="str">
        <f t="shared" si="9"/>
        <v>Sat</v>
      </c>
      <c r="B137" s="15"/>
      <c r="C137" s="16"/>
      <c r="D137" s="6"/>
      <c r="E137" s="6"/>
      <c r="F137" s="6"/>
      <c r="G137" s="6"/>
      <c r="H137" s="6"/>
      <c r="I137" s="6"/>
      <c r="J137" s="6"/>
      <c r="K137" s="6"/>
      <c r="L137" s="20"/>
      <c r="M137" s="84">
        <f t="shared" si="8"/>
        <v>0</v>
      </c>
      <c r="N137" s="248">
        <f>RHcount!X131</f>
        <v>33.5</v>
      </c>
      <c r="O137" s="17"/>
      <c r="P137" s="17"/>
      <c r="Q137" s="17"/>
      <c r="R137" s="17"/>
      <c r="S137" s="17"/>
      <c r="T137" s="17"/>
      <c r="U137" s="4"/>
      <c r="V137" s="4"/>
    </row>
    <row r="138" spans="1:22" x14ac:dyDescent="0.25">
      <c r="A138" s="318" t="str">
        <f t="shared" si="9"/>
        <v>Sat</v>
      </c>
      <c r="B138" s="15"/>
      <c r="C138" s="16"/>
      <c r="D138" s="6"/>
      <c r="E138" s="6"/>
      <c r="F138" s="6"/>
      <c r="G138" s="6"/>
      <c r="H138" s="6"/>
      <c r="I138" s="6"/>
      <c r="J138" s="6"/>
      <c r="K138" s="6"/>
      <c r="L138" s="20"/>
      <c r="M138" s="84">
        <f t="shared" si="8"/>
        <v>0</v>
      </c>
      <c r="N138" s="248">
        <f>RHcount!X132</f>
        <v>33.5</v>
      </c>
      <c r="O138" s="17"/>
      <c r="P138" s="17"/>
      <c r="Q138" s="17"/>
      <c r="R138" s="17"/>
      <c r="S138" s="17"/>
      <c r="T138" s="17"/>
      <c r="U138" s="4"/>
      <c r="V138" s="4"/>
    </row>
    <row r="139" spans="1:22" x14ac:dyDescent="0.25">
      <c r="A139" s="318" t="str">
        <f t="shared" si="9"/>
        <v>Sat</v>
      </c>
      <c r="B139" s="15"/>
      <c r="C139" s="16"/>
      <c r="D139" s="6"/>
      <c r="E139" s="6"/>
      <c r="F139" s="6"/>
      <c r="G139" s="6"/>
      <c r="H139" s="6"/>
      <c r="I139" s="6"/>
      <c r="J139" s="6"/>
      <c r="K139" s="6"/>
      <c r="L139" s="20"/>
      <c r="M139" s="84">
        <f t="shared" ref="M139:M202" si="10">IF(F139&gt;"a",VLOOKUP(F139,$U$11:$V$26,2),F139)</f>
        <v>0</v>
      </c>
      <c r="N139" s="248">
        <f>RHcount!X133</f>
        <v>33.5</v>
      </c>
      <c r="O139" s="17"/>
      <c r="P139" s="17"/>
      <c r="Q139" s="17"/>
      <c r="R139" s="17"/>
      <c r="S139" s="17"/>
      <c r="T139" s="17"/>
      <c r="U139" s="4"/>
      <c r="V139" s="4"/>
    </row>
    <row r="140" spans="1:22" x14ac:dyDescent="0.25">
      <c r="A140" s="318" t="str">
        <f t="shared" si="9"/>
        <v>Sat</v>
      </c>
      <c r="B140" s="15"/>
      <c r="C140" s="16"/>
      <c r="D140" s="6"/>
      <c r="E140" s="6"/>
      <c r="F140" s="6"/>
      <c r="G140" s="6"/>
      <c r="H140" s="6"/>
      <c r="I140" s="6"/>
      <c r="J140" s="6"/>
      <c r="K140" s="6"/>
      <c r="L140" s="20"/>
      <c r="M140" s="84">
        <f t="shared" si="10"/>
        <v>0</v>
      </c>
      <c r="N140" s="248">
        <f>RHcount!X134</f>
        <v>33.5</v>
      </c>
      <c r="O140" s="17"/>
      <c r="P140" s="17"/>
      <c r="Q140" s="17"/>
      <c r="R140" s="17"/>
      <c r="S140" s="17"/>
      <c r="T140" s="17"/>
      <c r="U140" s="4"/>
      <c r="V140" s="4"/>
    </row>
    <row r="141" spans="1:22" x14ac:dyDescent="0.25">
      <c r="A141" s="318" t="str">
        <f t="shared" si="9"/>
        <v>Sat</v>
      </c>
      <c r="B141" s="15"/>
      <c r="C141" s="16"/>
      <c r="D141" s="6"/>
      <c r="E141" s="6"/>
      <c r="F141" s="6"/>
      <c r="G141" s="6"/>
      <c r="H141" s="6"/>
      <c r="I141" s="6"/>
      <c r="J141" s="6"/>
      <c r="K141" s="6"/>
      <c r="L141" s="20"/>
      <c r="M141" s="84">
        <f t="shared" si="10"/>
        <v>0</v>
      </c>
      <c r="N141" s="248">
        <f>RHcount!X135</f>
        <v>33.5</v>
      </c>
      <c r="O141" s="17"/>
      <c r="P141" s="17"/>
      <c r="Q141" s="17"/>
      <c r="R141" s="17"/>
      <c r="S141" s="17"/>
      <c r="T141" s="17"/>
      <c r="U141" s="4"/>
      <c r="V141" s="4"/>
    </row>
    <row r="142" spans="1:22" x14ac:dyDescent="0.25">
      <c r="A142" s="318" t="str">
        <f t="shared" ref="A142:A190" si="11">TEXT(B142,"ddd")</f>
        <v>Sat</v>
      </c>
      <c r="B142" s="15"/>
      <c r="C142" s="16"/>
      <c r="D142" s="6"/>
      <c r="E142" s="6"/>
      <c r="F142" s="6"/>
      <c r="G142" s="6"/>
      <c r="H142" s="6"/>
      <c r="I142" s="6"/>
      <c r="J142" s="6"/>
      <c r="K142" s="6"/>
      <c r="L142" s="20"/>
      <c r="M142" s="84">
        <f t="shared" si="10"/>
        <v>0</v>
      </c>
      <c r="N142" s="248">
        <f>RHcount!X136</f>
        <v>33.5</v>
      </c>
      <c r="O142" s="17"/>
      <c r="P142" s="17"/>
      <c r="Q142" s="17"/>
      <c r="R142" s="17"/>
      <c r="S142" s="17"/>
      <c r="T142" s="17"/>
      <c r="U142" s="4"/>
      <c r="V142" s="4"/>
    </row>
    <row r="143" spans="1:22" x14ac:dyDescent="0.25">
      <c r="A143" s="318" t="str">
        <f t="shared" si="11"/>
        <v>Sat</v>
      </c>
      <c r="B143" s="15"/>
      <c r="C143" s="16"/>
      <c r="D143" s="6"/>
      <c r="E143" s="6"/>
      <c r="F143" s="6"/>
      <c r="G143" s="6"/>
      <c r="H143" s="6"/>
      <c r="I143" s="6"/>
      <c r="J143" s="6"/>
      <c r="K143" s="6"/>
      <c r="L143" s="20"/>
      <c r="M143" s="84">
        <f t="shared" si="10"/>
        <v>0</v>
      </c>
      <c r="N143" s="248">
        <f>RHcount!X137</f>
        <v>33.5</v>
      </c>
      <c r="O143" s="17"/>
      <c r="P143" s="17"/>
      <c r="Q143" s="17"/>
      <c r="R143" s="17"/>
      <c r="S143" s="17"/>
      <c r="T143" s="17"/>
      <c r="U143" s="4"/>
      <c r="V143" s="4"/>
    </row>
    <row r="144" spans="1:22" x14ac:dyDescent="0.25">
      <c r="A144" s="318" t="str">
        <f t="shared" si="11"/>
        <v>Sat</v>
      </c>
      <c r="B144" s="15"/>
      <c r="C144" s="16"/>
      <c r="D144" s="6"/>
      <c r="E144" s="6"/>
      <c r="F144" s="6"/>
      <c r="G144" s="6"/>
      <c r="H144" s="6"/>
      <c r="I144" s="6"/>
      <c r="J144" s="6"/>
      <c r="K144" s="6"/>
      <c r="L144" s="20"/>
      <c r="M144" s="84">
        <f t="shared" si="10"/>
        <v>0</v>
      </c>
      <c r="N144" s="248">
        <f>RHcount!X138</f>
        <v>33.5</v>
      </c>
      <c r="O144" s="17"/>
      <c r="P144" s="17"/>
      <c r="Q144" s="17"/>
      <c r="R144" s="17"/>
      <c r="S144" s="17"/>
      <c r="T144" s="17"/>
      <c r="U144" s="4"/>
      <c r="V144" s="4"/>
    </row>
    <row r="145" spans="1:22" x14ac:dyDescent="0.25">
      <c r="A145" s="318" t="str">
        <f t="shared" si="11"/>
        <v>Sat</v>
      </c>
      <c r="B145" s="15"/>
      <c r="C145" s="16"/>
      <c r="D145" s="6"/>
      <c r="E145" s="6"/>
      <c r="F145" s="6"/>
      <c r="G145" s="6"/>
      <c r="H145" s="6"/>
      <c r="I145" s="6"/>
      <c r="J145" s="6"/>
      <c r="K145" s="6"/>
      <c r="L145" s="20"/>
      <c r="M145" s="84">
        <f t="shared" si="10"/>
        <v>0</v>
      </c>
      <c r="N145" s="248">
        <f>RHcount!X139</f>
        <v>33.5</v>
      </c>
      <c r="O145" s="17"/>
      <c r="P145" s="17"/>
      <c r="Q145" s="17"/>
      <c r="R145" s="17"/>
      <c r="S145" s="17"/>
      <c r="T145" s="17"/>
      <c r="U145" s="4"/>
      <c r="V145" s="4"/>
    </row>
    <row r="146" spans="1:22" x14ac:dyDescent="0.25">
      <c r="A146" s="318" t="str">
        <f t="shared" si="11"/>
        <v>Sat</v>
      </c>
      <c r="B146" s="15"/>
      <c r="C146" s="16"/>
      <c r="D146" s="6"/>
      <c r="E146" s="6"/>
      <c r="F146" s="6"/>
      <c r="G146" s="6"/>
      <c r="H146" s="6"/>
      <c r="I146" s="6"/>
      <c r="J146" s="6"/>
      <c r="K146" s="6"/>
      <c r="L146" s="20"/>
      <c r="M146" s="84">
        <f t="shared" si="10"/>
        <v>0</v>
      </c>
      <c r="N146" s="248">
        <f>RHcount!X140</f>
        <v>33.5</v>
      </c>
      <c r="O146" s="17"/>
      <c r="P146" s="17"/>
      <c r="Q146" s="17"/>
      <c r="R146" s="17"/>
      <c r="S146" s="17"/>
      <c r="T146" s="17"/>
      <c r="U146" s="4"/>
      <c r="V146" s="4"/>
    </row>
    <row r="147" spans="1:22" x14ac:dyDescent="0.25">
      <c r="A147" s="318" t="str">
        <f t="shared" si="11"/>
        <v>Sat</v>
      </c>
      <c r="B147" s="15"/>
      <c r="C147" s="16"/>
      <c r="D147" s="6"/>
      <c r="E147" s="6"/>
      <c r="F147" s="6"/>
      <c r="G147" s="6"/>
      <c r="H147" s="6"/>
      <c r="I147" s="6"/>
      <c r="J147" s="6"/>
      <c r="K147" s="6"/>
      <c r="L147" s="20"/>
      <c r="M147" s="84">
        <f t="shared" si="10"/>
        <v>0</v>
      </c>
      <c r="N147" s="248">
        <f>RHcount!X141</f>
        <v>33.5</v>
      </c>
      <c r="O147" s="17"/>
      <c r="P147" s="17"/>
      <c r="Q147" s="17"/>
      <c r="R147" s="17"/>
      <c r="S147" s="17"/>
      <c r="T147" s="17"/>
      <c r="U147" s="4"/>
      <c r="V147" s="4"/>
    </row>
    <row r="148" spans="1:22" x14ac:dyDescent="0.25">
      <c r="A148" s="318" t="str">
        <f t="shared" si="11"/>
        <v>Sat</v>
      </c>
      <c r="B148" s="15"/>
      <c r="C148" s="16"/>
      <c r="D148" s="6"/>
      <c r="E148" s="6"/>
      <c r="F148" s="6"/>
      <c r="G148" s="6"/>
      <c r="H148" s="6"/>
      <c r="I148" s="6"/>
      <c r="J148" s="6"/>
      <c r="K148" s="6"/>
      <c r="L148" s="20"/>
      <c r="M148" s="84">
        <f t="shared" si="10"/>
        <v>0</v>
      </c>
      <c r="N148" s="248">
        <f>RHcount!X142</f>
        <v>33.5</v>
      </c>
      <c r="O148" s="17"/>
      <c r="P148" s="17"/>
      <c r="Q148" s="17"/>
      <c r="R148" s="17"/>
      <c r="S148" s="17"/>
      <c r="T148" s="17"/>
      <c r="U148" s="4"/>
      <c r="V148" s="4"/>
    </row>
    <row r="149" spans="1:22" x14ac:dyDescent="0.25">
      <c r="A149" s="318" t="str">
        <f t="shared" si="11"/>
        <v>Sat</v>
      </c>
      <c r="B149" s="15"/>
      <c r="C149" s="16"/>
      <c r="D149" s="6"/>
      <c r="E149" s="6"/>
      <c r="F149" s="6"/>
      <c r="G149" s="6"/>
      <c r="H149" s="6"/>
      <c r="I149" s="6"/>
      <c r="J149" s="6"/>
      <c r="K149" s="6"/>
      <c r="L149" s="20"/>
      <c r="M149" s="84">
        <f t="shared" si="10"/>
        <v>0</v>
      </c>
      <c r="N149" s="248">
        <f>RHcount!X143</f>
        <v>33.5</v>
      </c>
      <c r="O149" s="17"/>
      <c r="P149" s="17"/>
      <c r="Q149" s="17"/>
      <c r="R149" s="17"/>
      <c r="S149" s="17"/>
      <c r="T149" s="17"/>
      <c r="U149" s="4"/>
      <c r="V149" s="4"/>
    </row>
    <row r="150" spans="1:22" x14ac:dyDescent="0.25">
      <c r="A150" s="318" t="str">
        <f t="shared" si="11"/>
        <v>Sat</v>
      </c>
      <c r="B150" s="15"/>
      <c r="C150" s="16"/>
      <c r="D150" s="6"/>
      <c r="E150" s="6"/>
      <c r="F150" s="6"/>
      <c r="G150" s="6"/>
      <c r="H150" s="6"/>
      <c r="I150" s="6"/>
      <c r="J150" s="6"/>
      <c r="K150" s="6"/>
      <c r="L150" s="20"/>
      <c r="M150" s="84">
        <f t="shared" si="10"/>
        <v>0</v>
      </c>
      <c r="N150" s="248">
        <f>RHcount!X144</f>
        <v>33.5</v>
      </c>
      <c r="O150" s="17"/>
      <c r="P150" s="17"/>
      <c r="Q150" s="17"/>
      <c r="R150" s="17"/>
      <c r="S150" s="17"/>
      <c r="T150" s="17"/>
      <c r="U150" s="4"/>
      <c r="V150" s="4"/>
    </row>
    <row r="151" spans="1:22" x14ac:dyDescent="0.25">
      <c r="A151" s="318" t="str">
        <f t="shared" si="11"/>
        <v>Sat</v>
      </c>
      <c r="B151" s="15"/>
      <c r="C151" s="16"/>
      <c r="D151" s="6"/>
      <c r="E151" s="6"/>
      <c r="F151" s="6"/>
      <c r="G151" s="6"/>
      <c r="H151" s="6"/>
      <c r="I151" s="6"/>
      <c r="J151" s="6"/>
      <c r="K151" s="6"/>
      <c r="L151" s="20"/>
      <c r="M151" s="84">
        <f t="shared" si="10"/>
        <v>0</v>
      </c>
      <c r="N151" s="248">
        <f>RHcount!X145</f>
        <v>33.5</v>
      </c>
      <c r="O151" s="17"/>
      <c r="P151" s="17"/>
      <c r="Q151" s="17"/>
      <c r="R151" s="17"/>
      <c r="S151" s="17"/>
      <c r="T151" s="17"/>
      <c r="U151" s="4"/>
      <c r="V151" s="4"/>
    </row>
    <row r="152" spans="1:22" x14ac:dyDescent="0.25">
      <c r="A152" s="318" t="str">
        <f t="shared" si="11"/>
        <v>Sat</v>
      </c>
      <c r="B152" s="15"/>
      <c r="C152" s="16"/>
      <c r="D152" s="6"/>
      <c r="E152" s="6"/>
      <c r="F152" s="6"/>
      <c r="G152" s="6"/>
      <c r="H152" s="6"/>
      <c r="I152" s="6"/>
      <c r="J152" s="6"/>
      <c r="K152" s="6"/>
      <c r="L152" s="20"/>
      <c r="M152" s="84">
        <f t="shared" si="10"/>
        <v>0</v>
      </c>
      <c r="N152" s="248">
        <f>RHcount!X146</f>
        <v>33.5</v>
      </c>
      <c r="O152" s="17"/>
      <c r="P152" s="17"/>
      <c r="Q152" s="17"/>
      <c r="R152" s="17"/>
      <c r="S152" s="17"/>
      <c r="T152" s="17"/>
      <c r="U152" s="4"/>
      <c r="V152" s="4"/>
    </row>
    <row r="153" spans="1:22" x14ac:dyDescent="0.25">
      <c r="A153" s="318" t="str">
        <f t="shared" si="11"/>
        <v>Sat</v>
      </c>
      <c r="B153" s="15"/>
      <c r="C153" s="16"/>
      <c r="D153" s="6"/>
      <c r="E153" s="6"/>
      <c r="F153" s="6"/>
      <c r="G153" s="6"/>
      <c r="H153" s="6"/>
      <c r="I153" s="6"/>
      <c r="J153" s="6"/>
      <c r="K153" s="6"/>
      <c r="L153" s="20"/>
      <c r="M153" s="84">
        <f t="shared" si="10"/>
        <v>0</v>
      </c>
      <c r="N153" s="248">
        <f>RHcount!X147</f>
        <v>33.5</v>
      </c>
      <c r="O153" s="17"/>
      <c r="P153" s="17"/>
      <c r="Q153" s="17"/>
      <c r="R153" s="17"/>
      <c r="S153" s="17"/>
      <c r="T153" s="17"/>
      <c r="U153" s="4"/>
      <c r="V153" s="4"/>
    </row>
    <row r="154" spans="1:22" x14ac:dyDescent="0.25">
      <c r="A154" s="318" t="str">
        <f t="shared" si="11"/>
        <v>Sat</v>
      </c>
      <c r="B154" s="15"/>
      <c r="C154" s="16"/>
      <c r="D154" s="6"/>
      <c r="E154" s="6"/>
      <c r="F154" s="6"/>
      <c r="G154" s="6"/>
      <c r="H154" s="6"/>
      <c r="I154" s="6"/>
      <c r="J154" s="6"/>
      <c r="K154" s="6"/>
      <c r="L154" s="20"/>
      <c r="M154" s="84">
        <f t="shared" si="10"/>
        <v>0</v>
      </c>
      <c r="N154" s="248">
        <f>RHcount!X148</f>
        <v>33.5</v>
      </c>
      <c r="O154" s="17"/>
      <c r="P154" s="17"/>
      <c r="Q154" s="17"/>
      <c r="R154" s="17"/>
      <c r="S154" s="17"/>
      <c r="T154" s="17"/>
      <c r="U154" s="4"/>
      <c r="V154" s="4"/>
    </row>
    <row r="155" spans="1:22" x14ac:dyDescent="0.25">
      <c r="A155" s="318" t="str">
        <f t="shared" si="11"/>
        <v>Sat</v>
      </c>
      <c r="B155" s="15"/>
      <c r="C155" s="16"/>
      <c r="D155" s="6"/>
      <c r="E155" s="6"/>
      <c r="F155" s="6"/>
      <c r="G155" s="6"/>
      <c r="H155" s="6"/>
      <c r="I155" s="6"/>
      <c r="J155" s="6"/>
      <c r="K155" s="6"/>
      <c r="L155" s="20"/>
      <c r="M155" s="84">
        <f t="shared" si="10"/>
        <v>0</v>
      </c>
      <c r="N155" s="248">
        <f>RHcount!X149</f>
        <v>33.5</v>
      </c>
      <c r="O155" s="17"/>
      <c r="P155" s="17"/>
      <c r="Q155" s="17"/>
      <c r="R155" s="17"/>
      <c r="S155" s="17"/>
      <c r="T155" s="17"/>
      <c r="U155" s="4"/>
      <c r="V155" s="4"/>
    </row>
    <row r="156" spans="1:22" x14ac:dyDescent="0.25">
      <c r="A156" s="318" t="str">
        <f t="shared" si="11"/>
        <v>Sat</v>
      </c>
      <c r="B156" s="15"/>
      <c r="C156" s="16"/>
      <c r="D156" s="6"/>
      <c r="E156" s="6"/>
      <c r="F156" s="6"/>
      <c r="G156" s="6"/>
      <c r="H156" s="6"/>
      <c r="I156" s="6"/>
      <c r="J156" s="6"/>
      <c r="K156" s="6"/>
      <c r="L156" s="20"/>
      <c r="M156" s="84">
        <f t="shared" si="10"/>
        <v>0</v>
      </c>
      <c r="N156" s="248">
        <f>RHcount!X150</f>
        <v>33.5</v>
      </c>
      <c r="O156" s="17"/>
      <c r="P156" s="17"/>
      <c r="Q156" s="17"/>
      <c r="R156" s="17"/>
      <c r="S156" s="17"/>
      <c r="T156" s="17"/>
      <c r="U156" s="4"/>
      <c r="V156" s="4"/>
    </row>
    <row r="157" spans="1:22" x14ac:dyDescent="0.25">
      <c r="A157" s="318" t="str">
        <f t="shared" si="11"/>
        <v>Sat</v>
      </c>
      <c r="B157" s="15"/>
      <c r="C157" s="16"/>
      <c r="D157" s="6"/>
      <c r="E157" s="6"/>
      <c r="F157" s="6"/>
      <c r="G157" s="6"/>
      <c r="H157" s="6"/>
      <c r="I157" s="6"/>
      <c r="J157" s="6"/>
      <c r="K157" s="6"/>
      <c r="L157" s="20"/>
      <c r="M157" s="84">
        <f t="shared" si="10"/>
        <v>0</v>
      </c>
      <c r="N157" s="248">
        <f>RHcount!X151</f>
        <v>33.5</v>
      </c>
      <c r="O157" s="17"/>
      <c r="P157" s="17"/>
      <c r="Q157" s="17"/>
      <c r="R157" s="17"/>
      <c r="S157" s="17"/>
      <c r="T157" s="17"/>
      <c r="U157" s="4"/>
      <c r="V157" s="4"/>
    </row>
    <row r="158" spans="1:22" x14ac:dyDescent="0.25">
      <c r="A158" s="318" t="str">
        <f t="shared" si="11"/>
        <v>Sat</v>
      </c>
      <c r="B158" s="15"/>
      <c r="C158" s="16"/>
      <c r="D158" s="6"/>
      <c r="E158" s="6"/>
      <c r="F158" s="6"/>
      <c r="G158" s="6"/>
      <c r="H158" s="6"/>
      <c r="I158" s="6"/>
      <c r="J158" s="6"/>
      <c r="K158" s="6"/>
      <c r="L158" s="20"/>
      <c r="M158" s="84">
        <f t="shared" si="10"/>
        <v>0</v>
      </c>
      <c r="N158" s="248">
        <f>RHcount!X152</f>
        <v>33.5</v>
      </c>
      <c r="O158" s="17"/>
      <c r="P158" s="17"/>
      <c r="Q158" s="17"/>
      <c r="R158" s="17"/>
      <c r="S158" s="17"/>
      <c r="T158" s="17"/>
      <c r="U158" s="4"/>
      <c r="V158" s="4"/>
    </row>
    <row r="159" spans="1:22" x14ac:dyDescent="0.25">
      <c r="A159" s="318" t="str">
        <f t="shared" si="11"/>
        <v>Sat</v>
      </c>
      <c r="B159" s="15"/>
      <c r="C159" s="16"/>
      <c r="D159" s="6"/>
      <c r="E159" s="6"/>
      <c r="F159" s="6"/>
      <c r="G159" s="6"/>
      <c r="H159" s="6"/>
      <c r="I159" s="6"/>
      <c r="J159" s="6"/>
      <c r="K159" s="6"/>
      <c r="L159" s="20"/>
      <c r="M159" s="84">
        <f t="shared" si="10"/>
        <v>0</v>
      </c>
      <c r="N159" s="248">
        <f>RHcount!X153</f>
        <v>33.5</v>
      </c>
      <c r="O159" s="17"/>
      <c r="P159" s="17"/>
      <c r="Q159" s="17"/>
      <c r="R159" s="17"/>
      <c r="S159" s="17"/>
      <c r="T159" s="17"/>
      <c r="U159" s="4"/>
      <c r="V159" s="4"/>
    </row>
    <row r="160" spans="1:22" x14ac:dyDescent="0.25">
      <c r="A160" s="318" t="str">
        <f t="shared" si="11"/>
        <v>Sat</v>
      </c>
      <c r="B160" s="15"/>
      <c r="C160" s="16"/>
      <c r="D160" s="6"/>
      <c r="E160" s="6"/>
      <c r="F160" s="6"/>
      <c r="G160" s="6"/>
      <c r="H160" s="6"/>
      <c r="I160" s="6"/>
      <c r="J160" s="6"/>
      <c r="K160" s="6"/>
      <c r="L160" s="20"/>
      <c r="M160" s="84">
        <f t="shared" si="10"/>
        <v>0</v>
      </c>
      <c r="N160" s="248">
        <f>RHcount!X154</f>
        <v>33.5</v>
      </c>
      <c r="O160" s="17"/>
      <c r="P160" s="17"/>
      <c r="Q160" s="17"/>
      <c r="R160" s="17"/>
      <c r="S160" s="17"/>
      <c r="T160" s="17"/>
      <c r="U160" s="4"/>
      <c r="V160" s="4"/>
    </row>
    <row r="161" spans="1:22" x14ac:dyDescent="0.25">
      <c r="A161" s="318" t="str">
        <f t="shared" si="11"/>
        <v>Sat</v>
      </c>
      <c r="B161" s="15"/>
      <c r="C161" s="16"/>
      <c r="D161" s="6"/>
      <c r="E161" s="6"/>
      <c r="F161" s="6"/>
      <c r="G161" s="6"/>
      <c r="H161" s="6"/>
      <c r="I161" s="6"/>
      <c r="J161" s="6"/>
      <c r="K161" s="6"/>
      <c r="L161" s="20"/>
      <c r="M161" s="84">
        <f t="shared" si="10"/>
        <v>0</v>
      </c>
      <c r="N161" s="248">
        <f>RHcount!X155</f>
        <v>33.5</v>
      </c>
      <c r="O161" s="17"/>
      <c r="P161" s="17"/>
      <c r="Q161" s="17"/>
      <c r="R161" s="17"/>
      <c r="S161" s="17"/>
      <c r="T161" s="17"/>
      <c r="U161" s="4"/>
      <c r="V161" s="4"/>
    </row>
    <row r="162" spans="1:22" x14ac:dyDescent="0.25">
      <c r="A162" s="318" t="str">
        <f t="shared" si="11"/>
        <v>Sat</v>
      </c>
      <c r="B162" s="15"/>
      <c r="C162" s="16"/>
      <c r="D162" s="6"/>
      <c r="E162" s="6"/>
      <c r="F162" s="6"/>
      <c r="G162" s="6"/>
      <c r="H162" s="6"/>
      <c r="I162" s="6"/>
      <c r="J162" s="6"/>
      <c r="K162" s="6"/>
      <c r="L162" s="20"/>
      <c r="M162" s="84">
        <f t="shared" si="10"/>
        <v>0</v>
      </c>
      <c r="N162" s="248">
        <f>RHcount!X156</f>
        <v>33.5</v>
      </c>
      <c r="O162" s="17"/>
      <c r="P162" s="17"/>
      <c r="Q162" s="17"/>
      <c r="R162" s="17"/>
      <c r="S162" s="17"/>
      <c r="T162" s="17"/>
      <c r="U162" s="4"/>
      <c r="V162" s="4"/>
    </row>
    <row r="163" spans="1:22" x14ac:dyDescent="0.25">
      <c r="A163" s="318" t="str">
        <f t="shared" si="11"/>
        <v>Sat</v>
      </c>
      <c r="B163" s="15"/>
      <c r="C163" s="16"/>
      <c r="D163" s="6"/>
      <c r="E163" s="6"/>
      <c r="F163" s="6"/>
      <c r="G163" s="6"/>
      <c r="H163" s="6"/>
      <c r="I163" s="6"/>
      <c r="J163" s="6"/>
      <c r="K163" s="6"/>
      <c r="L163" s="20"/>
      <c r="M163" s="84">
        <f t="shared" si="10"/>
        <v>0</v>
      </c>
      <c r="N163" s="248">
        <f>RHcount!X157</f>
        <v>33.5</v>
      </c>
      <c r="O163" s="17"/>
      <c r="P163" s="17"/>
      <c r="Q163" s="17"/>
      <c r="R163" s="17"/>
      <c r="S163" s="17"/>
      <c r="T163" s="17"/>
      <c r="U163" s="4"/>
      <c r="V163" s="4"/>
    </row>
    <row r="164" spans="1:22" x14ac:dyDescent="0.25">
      <c r="A164" s="318" t="str">
        <f t="shared" si="11"/>
        <v>Sat</v>
      </c>
      <c r="B164" s="15"/>
      <c r="C164" s="16"/>
      <c r="D164" s="6"/>
      <c r="E164" s="6"/>
      <c r="F164" s="6"/>
      <c r="G164" s="6"/>
      <c r="H164" s="6"/>
      <c r="I164" s="6"/>
      <c r="J164" s="6"/>
      <c r="K164" s="6"/>
      <c r="L164" s="20"/>
      <c r="M164" s="84">
        <f t="shared" si="10"/>
        <v>0</v>
      </c>
      <c r="N164" s="248">
        <f>RHcount!X158</f>
        <v>33.5</v>
      </c>
      <c r="O164" s="17"/>
      <c r="P164" s="17"/>
      <c r="Q164" s="17"/>
      <c r="R164" s="17"/>
      <c r="S164" s="17"/>
      <c r="T164" s="17"/>
      <c r="U164" s="4"/>
      <c r="V164" s="4"/>
    </row>
    <row r="165" spans="1:22" x14ac:dyDescent="0.25">
      <c r="A165" s="318" t="str">
        <f t="shared" si="11"/>
        <v>Sat</v>
      </c>
      <c r="B165" s="15"/>
      <c r="C165" s="16"/>
      <c r="D165" s="6"/>
      <c r="E165" s="6"/>
      <c r="F165" s="6"/>
      <c r="G165" s="6"/>
      <c r="H165" s="6"/>
      <c r="I165" s="6"/>
      <c r="J165" s="6"/>
      <c r="K165" s="6"/>
      <c r="L165" s="20"/>
      <c r="M165" s="84">
        <f t="shared" si="10"/>
        <v>0</v>
      </c>
      <c r="N165" s="248">
        <f>RHcount!X159</f>
        <v>33.5</v>
      </c>
      <c r="O165" s="17"/>
      <c r="P165" s="17"/>
      <c r="Q165" s="17"/>
      <c r="R165" s="17"/>
      <c r="S165" s="17"/>
      <c r="T165" s="17"/>
      <c r="U165" s="4"/>
      <c r="V165" s="4"/>
    </row>
    <row r="166" spans="1:22" x14ac:dyDescent="0.25">
      <c r="A166" s="318" t="str">
        <f t="shared" si="11"/>
        <v>Sat</v>
      </c>
      <c r="B166" s="15"/>
      <c r="C166" s="16"/>
      <c r="D166" s="6"/>
      <c r="E166" s="6"/>
      <c r="F166" s="6"/>
      <c r="G166" s="6"/>
      <c r="H166" s="6"/>
      <c r="I166" s="6"/>
      <c r="J166" s="6"/>
      <c r="K166" s="6"/>
      <c r="L166" s="20"/>
      <c r="M166" s="84">
        <f t="shared" si="10"/>
        <v>0</v>
      </c>
      <c r="N166" s="248">
        <f>RHcount!X160</f>
        <v>33.5</v>
      </c>
      <c r="O166" s="17"/>
      <c r="P166" s="17"/>
      <c r="Q166" s="17"/>
      <c r="R166" s="17"/>
      <c r="S166" s="17"/>
      <c r="T166" s="17"/>
      <c r="U166" s="4"/>
      <c r="V166" s="4"/>
    </row>
    <row r="167" spans="1:22" x14ac:dyDescent="0.25">
      <c r="A167" s="318" t="str">
        <f t="shared" si="11"/>
        <v>Sat</v>
      </c>
      <c r="B167" s="15"/>
      <c r="C167" s="16"/>
      <c r="D167" s="6"/>
      <c r="E167" s="6"/>
      <c r="F167" s="6"/>
      <c r="G167" s="6"/>
      <c r="H167" s="6"/>
      <c r="I167" s="6"/>
      <c r="J167" s="6"/>
      <c r="K167" s="6"/>
      <c r="L167" s="20"/>
      <c r="M167" s="84">
        <f t="shared" si="10"/>
        <v>0</v>
      </c>
      <c r="N167" s="248">
        <f>RHcount!X161</f>
        <v>33.5</v>
      </c>
      <c r="O167" s="17"/>
      <c r="P167" s="17"/>
      <c r="Q167" s="17"/>
      <c r="R167" s="17"/>
      <c r="S167" s="17"/>
      <c r="T167" s="17"/>
      <c r="U167" s="4"/>
      <c r="V167" s="4"/>
    </row>
    <row r="168" spans="1:22" x14ac:dyDescent="0.25">
      <c r="A168" s="318" t="str">
        <f t="shared" si="11"/>
        <v>Sat</v>
      </c>
      <c r="B168" s="15"/>
      <c r="C168" s="16"/>
      <c r="D168" s="6"/>
      <c r="E168" s="6"/>
      <c r="F168" s="6"/>
      <c r="G168" s="6"/>
      <c r="H168" s="6"/>
      <c r="I168" s="6"/>
      <c r="J168" s="6"/>
      <c r="K168" s="6"/>
      <c r="L168" s="20"/>
      <c r="M168" s="84">
        <f t="shared" si="10"/>
        <v>0</v>
      </c>
      <c r="N168" s="248">
        <f>RHcount!X162</f>
        <v>33.5</v>
      </c>
      <c r="O168" s="17"/>
      <c r="P168" s="17"/>
      <c r="Q168" s="17"/>
      <c r="R168" s="17"/>
      <c r="S168" s="17"/>
      <c r="T168" s="17"/>
      <c r="U168" s="4"/>
      <c r="V168" s="4"/>
    </row>
    <row r="169" spans="1:22" x14ac:dyDescent="0.25">
      <c r="A169" s="318" t="str">
        <f t="shared" si="11"/>
        <v>Sat</v>
      </c>
      <c r="B169" s="15"/>
      <c r="C169" s="16"/>
      <c r="D169" s="6"/>
      <c r="E169" s="6"/>
      <c r="F169" s="6"/>
      <c r="G169" s="6"/>
      <c r="H169" s="6"/>
      <c r="I169" s="6"/>
      <c r="J169" s="6"/>
      <c r="K169" s="6"/>
      <c r="L169" s="20"/>
      <c r="M169" s="84">
        <f t="shared" si="10"/>
        <v>0</v>
      </c>
      <c r="N169" s="248">
        <f>RHcount!X163</f>
        <v>33.5</v>
      </c>
      <c r="O169" s="17"/>
      <c r="P169" s="17"/>
      <c r="Q169" s="17"/>
      <c r="R169" s="17"/>
      <c r="S169" s="17"/>
      <c r="T169" s="17"/>
      <c r="U169" s="4"/>
      <c r="V169" s="4"/>
    </row>
    <row r="170" spans="1:22" x14ac:dyDescent="0.25">
      <c r="A170" s="318" t="str">
        <f t="shared" si="11"/>
        <v>Sat</v>
      </c>
      <c r="B170" s="15"/>
      <c r="C170" s="16"/>
      <c r="D170" s="6"/>
      <c r="E170" s="6"/>
      <c r="F170" s="6"/>
      <c r="G170" s="6"/>
      <c r="H170" s="6"/>
      <c r="I170" s="6"/>
      <c r="J170" s="6"/>
      <c r="K170" s="6"/>
      <c r="L170" s="20"/>
      <c r="M170" s="84">
        <f t="shared" si="10"/>
        <v>0</v>
      </c>
      <c r="N170" s="248">
        <f>RHcount!X164</f>
        <v>33.5</v>
      </c>
      <c r="O170" s="17"/>
      <c r="P170" s="17"/>
      <c r="Q170" s="17"/>
      <c r="R170" s="17"/>
      <c r="S170" s="17"/>
      <c r="T170" s="17"/>
      <c r="U170" s="4"/>
      <c r="V170" s="4"/>
    </row>
    <row r="171" spans="1:22" x14ac:dyDescent="0.25">
      <c r="A171" s="318" t="str">
        <f t="shared" si="11"/>
        <v>Sat</v>
      </c>
      <c r="B171" s="15"/>
      <c r="C171" s="16"/>
      <c r="D171" s="6"/>
      <c r="E171" s="6"/>
      <c r="F171" s="6"/>
      <c r="G171" s="6"/>
      <c r="H171" s="6"/>
      <c r="I171" s="6"/>
      <c r="J171" s="6"/>
      <c r="K171" s="6"/>
      <c r="L171" s="20"/>
      <c r="M171" s="84">
        <f t="shared" si="10"/>
        <v>0</v>
      </c>
      <c r="N171" s="248">
        <f>RHcount!X165</f>
        <v>33.5</v>
      </c>
      <c r="O171" s="17"/>
      <c r="P171" s="17"/>
      <c r="Q171" s="17"/>
      <c r="R171" s="17"/>
      <c r="S171" s="17"/>
      <c r="T171" s="17"/>
      <c r="U171" s="4"/>
      <c r="V171" s="4"/>
    </row>
    <row r="172" spans="1:22" x14ac:dyDescent="0.25">
      <c r="A172" s="318" t="str">
        <f t="shared" si="11"/>
        <v>Sat</v>
      </c>
      <c r="B172" s="15"/>
      <c r="C172" s="16"/>
      <c r="D172" s="6"/>
      <c r="E172" s="6"/>
      <c r="F172" s="6"/>
      <c r="G172" s="6"/>
      <c r="H172" s="6"/>
      <c r="I172" s="6"/>
      <c r="J172" s="6"/>
      <c r="K172" s="6"/>
      <c r="L172" s="20"/>
      <c r="M172" s="84">
        <f t="shared" si="10"/>
        <v>0</v>
      </c>
      <c r="N172" s="248">
        <f>RHcount!X166</f>
        <v>33.5</v>
      </c>
      <c r="O172" s="17"/>
      <c r="P172" s="17"/>
      <c r="Q172" s="17"/>
      <c r="R172" s="17"/>
      <c r="S172" s="17"/>
      <c r="T172" s="17"/>
      <c r="U172" s="4"/>
      <c r="V172" s="4"/>
    </row>
    <row r="173" spans="1:22" x14ac:dyDescent="0.25">
      <c r="A173" s="318" t="str">
        <f t="shared" si="11"/>
        <v>Sat</v>
      </c>
      <c r="B173" s="15"/>
      <c r="C173" s="16"/>
      <c r="D173" s="6"/>
      <c r="E173" s="6"/>
      <c r="F173" s="6"/>
      <c r="G173" s="6"/>
      <c r="H173" s="6"/>
      <c r="I173" s="6"/>
      <c r="J173" s="6"/>
      <c r="K173" s="6"/>
      <c r="L173" s="20"/>
      <c r="M173" s="84">
        <f t="shared" si="10"/>
        <v>0</v>
      </c>
      <c r="N173" s="248">
        <f>RHcount!X167</f>
        <v>33.5</v>
      </c>
      <c r="O173" s="17"/>
      <c r="P173" s="17"/>
      <c r="Q173" s="17"/>
      <c r="R173" s="17"/>
      <c r="S173" s="17"/>
      <c r="T173" s="17"/>
      <c r="U173" s="4"/>
      <c r="V173" s="4"/>
    </row>
    <row r="174" spans="1:22" x14ac:dyDescent="0.25">
      <c r="A174" s="318" t="str">
        <f t="shared" si="11"/>
        <v>Sat</v>
      </c>
      <c r="B174" s="15"/>
      <c r="C174" s="16"/>
      <c r="D174" s="6"/>
      <c r="E174" s="6"/>
      <c r="F174" s="6"/>
      <c r="G174" s="6"/>
      <c r="H174" s="6"/>
      <c r="I174" s="6"/>
      <c r="J174" s="6"/>
      <c r="K174" s="6"/>
      <c r="L174" s="20"/>
      <c r="M174" s="84">
        <f t="shared" si="10"/>
        <v>0</v>
      </c>
      <c r="N174" s="248">
        <f>RHcount!X168</f>
        <v>33.5</v>
      </c>
      <c r="O174" s="17"/>
      <c r="P174" s="17"/>
      <c r="Q174" s="17"/>
      <c r="R174" s="17"/>
      <c r="S174" s="17"/>
      <c r="T174" s="17"/>
      <c r="U174" s="4"/>
      <c r="V174" s="4"/>
    </row>
    <row r="175" spans="1:22" x14ac:dyDescent="0.25">
      <c r="A175" s="318" t="str">
        <f t="shared" si="11"/>
        <v>Sat</v>
      </c>
      <c r="B175" s="15"/>
      <c r="C175" s="16"/>
      <c r="D175" s="6"/>
      <c r="E175" s="6"/>
      <c r="F175" s="6"/>
      <c r="G175" s="6"/>
      <c r="H175" s="6"/>
      <c r="I175" s="6"/>
      <c r="J175" s="6"/>
      <c r="K175" s="6"/>
      <c r="L175" s="20"/>
      <c r="M175" s="84">
        <f t="shared" si="10"/>
        <v>0</v>
      </c>
      <c r="N175" s="248">
        <f>RHcount!X169</f>
        <v>33.5</v>
      </c>
      <c r="O175" s="17"/>
      <c r="P175" s="17"/>
      <c r="Q175" s="17"/>
      <c r="R175" s="17"/>
      <c r="S175" s="17"/>
      <c r="T175" s="17"/>
      <c r="U175" s="4"/>
      <c r="V175" s="4"/>
    </row>
    <row r="176" spans="1:22" x14ac:dyDescent="0.25">
      <c r="A176" s="318" t="str">
        <f t="shared" si="11"/>
        <v>Sat</v>
      </c>
      <c r="B176" s="15"/>
      <c r="C176" s="16"/>
      <c r="D176" s="6"/>
      <c r="E176" s="6"/>
      <c r="F176" s="6"/>
      <c r="G176" s="6"/>
      <c r="H176" s="6"/>
      <c r="I176" s="6"/>
      <c r="J176" s="6"/>
      <c r="K176" s="6"/>
      <c r="L176" s="20"/>
      <c r="M176" s="84">
        <f t="shared" si="10"/>
        <v>0</v>
      </c>
      <c r="N176" s="248">
        <f>RHcount!X170</f>
        <v>33.5</v>
      </c>
      <c r="O176" s="17"/>
      <c r="P176" s="17"/>
      <c r="Q176" s="17"/>
      <c r="R176" s="17"/>
      <c r="S176" s="17"/>
      <c r="T176" s="17"/>
      <c r="U176" s="4"/>
      <c r="V176" s="4"/>
    </row>
    <row r="177" spans="1:22" x14ac:dyDescent="0.25">
      <c r="A177" s="318" t="str">
        <f t="shared" si="11"/>
        <v>Sat</v>
      </c>
      <c r="B177" s="15"/>
      <c r="C177" s="16"/>
      <c r="D177" s="6"/>
      <c r="E177" s="6"/>
      <c r="F177" s="6"/>
      <c r="G177" s="6"/>
      <c r="H177" s="6"/>
      <c r="I177" s="6"/>
      <c r="J177" s="6"/>
      <c r="K177" s="6"/>
      <c r="L177" s="20"/>
      <c r="M177" s="84">
        <f t="shared" si="10"/>
        <v>0</v>
      </c>
      <c r="N177" s="248">
        <f>RHcount!X171</f>
        <v>33.5</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33.5</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33.5</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33.5</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33.5</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33.5</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33.5</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33.5</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33.5</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33.5</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33.5</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33.5</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33.5</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33.5</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33.5</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33.5</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33.5</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33.5</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33.5</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33.5</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33.5</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33.5</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33.5</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33.5</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33.5</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33.5</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33.5</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33.5</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33.5</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33.5</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33.5</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33.5</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33.5</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33.5</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33.5</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33.5</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33.5</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33.5</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33.5</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33.5</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33.5</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33.5</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33.5</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33.5</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33.5</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33.5</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33.5</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33.5</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33.5</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33.5</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33.5</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33.5</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33.5</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33.5</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33.5</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33.5</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33.5</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33.5</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33.5</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33.5</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33.5</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33.5</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33.5</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33.5</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33.5</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33.5</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33.5</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33.5</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33.5</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33.5</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33.5</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33.5</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33.5</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33.5</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33.5</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33.5</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33.5</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33.5</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33.5</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33.5</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33.5</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33.5</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33.5</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33.5</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33.5</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33.5</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33.5</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33.5</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33.5</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33.5</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33.5</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33.5</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33.5</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33.5</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33.5</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33.5</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33.5</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33.5</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33.5</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33.5</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33.5</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33.5</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33.5</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33.5</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33.5</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33.5</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33.5</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33.5</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33.5</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33.5</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33.5</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33.5</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33.5</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33.5</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33.5</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33.5</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33.5</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33.5</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33.5</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33.5</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33.5</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33.5</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33.5</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33.5</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33.5</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33.5</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33.5</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33.5</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33.5</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33.5</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33.5</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33.5</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33.5</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33.5</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33.5</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33.5</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33.5</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33.5</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33.5</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33.5</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33.5</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33.5</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33.5</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33.5</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33.5</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33.5</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33.5</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33.5</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33.5</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33.5</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33.5</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33.5</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33.5</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33.5</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33.5</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33.5</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33.5</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33.5</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33.5</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33.5</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33.5</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33.5</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33.5</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33.5</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33.5</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33.5</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33.5</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33.5</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33.5</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33.5</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33.5</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33.5</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33.5</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33.5</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33.5</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33.5</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33.5</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33.5</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33.5</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33.5</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33.5</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33.5</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33.5</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33.5</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33.5</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33.5</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33.5</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33.5</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33.5</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33.5</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33.5</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33.5</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33.5</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33.5</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33.5</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33.5</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33.5</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33.5</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33.5</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33.5</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33.5</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33.5</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33.5</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33.5</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33.5</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33.5</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33.5</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33.5</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33.5</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33.5</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33.5</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33.5</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33.5</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33.5</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33.5</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33.5</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33.5</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33.5</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33.5</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33.5</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33.5</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33.5</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33.5</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33.5</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33.5</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33.5</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33.5</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33.5</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33.5</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33.5</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33.5</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33.5</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33.5</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33.5</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33.5</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33.5</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33.5</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33.5</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33.5</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33.5</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33.5</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33.5</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33.5</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33.5</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33.5</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33.5</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33.5</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33.5</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33.5</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33.5</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33.5</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33.5</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33.5</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33.5</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33.5</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33.5</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33.5</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33.5</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33.5</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33.5</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33.5</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33.5</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33.5</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33.5</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33.5</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33.5</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33.5</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33.5</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33.5</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33.5</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33.5</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33.5</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33.5</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33.5</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33.5</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33.5</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33.5</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33.5</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33.5</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33.5</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33.5</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33.5</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33.5</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33.5</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33.5</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33.5</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33.5</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33.5</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33.5</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33.5</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33.5</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33.5</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33.5</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33.5</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33.5</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33.5</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33.5</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33.5</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33.5</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33.5</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33.5</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33.5</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33.5</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33.5</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33.5</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33.5</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33.5</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33.5</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33.5</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33.5</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33.5</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33.5</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33.5</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33.5</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33.5</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33.5</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33.5</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33.5</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33.5</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33.5</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33.5</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33.5</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33.5</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33.5</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33.5</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33.5</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33.5</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33.5</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33.5</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33.5</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33.5</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33.5</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33.5</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33.5</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33.5</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33.5</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33.5</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33.5</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33.5</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33.5</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33.5</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33.5</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33.5</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33.5</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33.5</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33.5</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33.5</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33.5</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33.5</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33.5</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33.5</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33.5</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33.5</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33.5</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33.5</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33.5</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33.5</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33.5</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33.5</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33.5</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33.5</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33.5</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33.5</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33.5</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33.5</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33.5</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33.5</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33.5</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33.5</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33.5</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33.5</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33.5</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33.5</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33.5</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33.5</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33.5</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33.5</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33.5</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33.5</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33.5</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33.5</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33.5</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33.5</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33.5</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33.5</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33.5</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33.5</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33.5</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33.5</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33.5</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33.5</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33.5</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33.5</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33.5</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33.5</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33.5</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33.5</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33.5</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33.5</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33.5</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33.5</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33.5</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33.5</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33.5</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33.5</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33.5</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33.5</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33.5</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33.5</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33.5</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33.5</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33.5</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33.5</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33.5</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33.5</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33.5</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33.5</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33.5</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33.5</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33.5</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33.5</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33.5</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33.5</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33.5</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33.5</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33.5</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33.5</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33.5</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33.5</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33.5</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33.5</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33.5</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33.5</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33.5</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33.5</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33.5</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33.5</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33.5</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33.5</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33.5</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33.5</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33.5</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33.5</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33.5</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33.5</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33.5</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33.5</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33.5</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33.5</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33.5</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33.5</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33.5</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33.5</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33.5</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33.5</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33.5</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33.5</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33.5</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33.5</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33.5</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33.5</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33.5</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33.5</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33.5</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33.5</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33.5</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33.5</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33.5</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33.5</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33.5</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33.5</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33.5</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33.5</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33.5</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33.5</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33.5</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33.5</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33.5</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33.5</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33.5</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33.5</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33.5</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33.5</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33.5</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33.5</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33.5</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33.5</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33.5</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33.5</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33.5</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33.5</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33.5</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33.5</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33.5</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33.5</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33.5</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33.5</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33.5</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33.5</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33.5</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33.5</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33.5</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33.5</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33.5</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33.5</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33.5</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33.5</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33.5</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33.5</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33.5</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33.5</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33.5</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33.5</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33.5</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33.5</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33.5</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33.5</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33.5</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33.5</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33.5</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33.5</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33.5</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33.5</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33.5</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33.5</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33.5</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33.5</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33.5</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33.5</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33.5</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33.5</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33.5</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33.5</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33.5</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33.5</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33.5</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33.5</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33.5</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33.5</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33.5</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33.5</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33.5</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33.5</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33.5</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33.5</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33.5</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33.5</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33.5</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33.5</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33.5</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33.5</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33.5</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33.5</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33.5</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33.5</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33.5</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33.5</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33.5</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33.5</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33.5</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33.5</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33.5</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33.5</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33.5</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33.5</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33.5</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33.5</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33.5</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33.5</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33.5</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33.5</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33.5</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33.5</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33.5</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33.5</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33.5</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33.5</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33.5</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33.5</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33.5</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33.5</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33.5</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33.5</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33.5</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33.5</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33.5</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24</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Mon</v>
      </c>
      <c r="B9" s="46">
        <f>Weather_Site!B12</f>
        <v>41281</v>
      </c>
      <c r="C9" s="47">
        <f>Weather_Site!C12</f>
        <v>0.20833333333333334</v>
      </c>
      <c r="D9" s="48">
        <f>Weather_Site!D12</f>
        <v>17.5</v>
      </c>
      <c r="E9" s="48">
        <f>Weather_Site!E12</f>
        <v>93.9</v>
      </c>
      <c r="F9" s="49">
        <f>Weather_Site!F12</f>
        <v>168</v>
      </c>
      <c r="G9" s="48">
        <f>Weather_Site!G12</f>
        <v>5</v>
      </c>
      <c r="H9" s="48">
        <f>IF(Weather_Site!M12&lt;180,Weather_Site!M12+180,Weather_Site!M12-180)</f>
        <v>348</v>
      </c>
      <c r="I9" s="172">
        <f>C$5</f>
        <v>0</v>
      </c>
      <c r="J9" s="214">
        <f>J$4</f>
        <v>3</v>
      </c>
      <c r="K9" s="48">
        <f>G9/J9</f>
        <v>1.6666666666666667</v>
      </c>
      <c r="L9" s="172">
        <f>C$4</f>
        <v>24</v>
      </c>
      <c r="M9" s="51">
        <f>IF(Use_BOM_DF,Weather_Site!H12,IF(0.191*(Weather_Site!K12+104)*(Weather_Site!J12+1)^1.5/(3.52*(Weather_Site!J12+1)^1.5+Weather_Site!I12-1)&gt;10, 10,0.191*(Weather_Site!K12+104)*(Weather_Site!J12+1)^1.5/(3.52*(Weather_Site!J12+1)^1.5+Weather_Site!I12-1)))</f>
        <v>10</v>
      </c>
      <c r="N9" s="51">
        <f>2*EXP(-0.45+0.987*LN(M9)-0.0345*E9+0.0338*D9+0.0234*G9*3/J9)</f>
        <v>0.9848643799150969</v>
      </c>
      <c r="O9" s="52">
        <f>0.0012*N9*L9*EXP(0.069*I9)*1000</f>
        <v>28.364094141554787</v>
      </c>
      <c r="P9" s="52">
        <f>0.0012*X9*L9*EXP(0.069*0)*1000</f>
        <v>25.232278165820201</v>
      </c>
      <c r="Q9" s="51">
        <f>(13*O9/EXP(0.069*I9)/1000+0.24*L9-2)</f>
        <v>4.1287332238402117</v>
      </c>
      <c r="R9" s="53">
        <f>IF((O9/1000*(4.17-0.033*L9)-0.36)*1000&lt;0,0,(O9/1000*(4.17-0.033*L9)-0.36)*1000)</f>
        <v>0</v>
      </c>
      <c r="S9" s="53">
        <f>516.7*L9*M9/10*O9/1000</f>
        <v>351.73745863059264</v>
      </c>
      <c r="T9" s="53">
        <f>1860*L9*M9/10</f>
        <v>44640</v>
      </c>
      <c r="U9" s="51">
        <f>3.033808*EXP(E9*(-0.00033169*D9+0.02638614))</f>
        <v>20.956053397694053</v>
      </c>
      <c r="V9" s="52">
        <f>G9/3</f>
        <v>1.6666666666666667</v>
      </c>
      <c r="W9" s="52">
        <f>G9/1.2</f>
        <v>4.166666666666667</v>
      </c>
      <c r="X9" s="51">
        <f>2*EXP(-0.45+0.987*LN(M9)-0.0345*E9+0.0338*D9+0.0234*0)</f>
        <v>0.87612076964653485</v>
      </c>
      <c r="Y9" s="51">
        <f>IF(HOUR(C9)&lt;12,12.519-(0.282*D9)+(0.112*E9),6.783-(0.17*D9)+(0.133*E9))</f>
        <v>18.100800000000003</v>
      </c>
      <c r="Z9" s="51">
        <f>IF(Use_BOM_DF,M9/10,MIN(0.972+(0.342*LN(Weather_Site!J12))-(0.245*LN(Weather_Site!I12)),1))</f>
        <v>1</v>
      </c>
      <c r="AA9" s="52">
        <f>(0.22*L9*EXP(0.158*(1.674+0.179*G9)-0.227*Y9))*Z9*60</f>
        <v>7.8091104611144964</v>
      </c>
      <c r="AB9" s="52">
        <f>AA9*EXP(0.0662*I9)</f>
        <v>7.8091104611144964</v>
      </c>
      <c r="AC9" s="52">
        <f>(0.22*L9*EXP(0.158*0-0.227*Y9))*Z9*60</f>
        <v>5.2037996461621239</v>
      </c>
      <c r="AD9" s="51">
        <f>0.3048*31.7537*(1-EXP(-0.31772*AB9/18.3))*(1-EXP(-(0.03644*1.1289^(AB9/18.3))*(Z9*L9/2.2417)))</f>
        <v>0.41344082523832171</v>
      </c>
      <c r="AE9" s="51">
        <f>IF(D9&lt;20,-2.19+(2.23*SQRT(AA9)),-0.296+(2.23*SQRT(AA9)))</f>
        <v>4.0416872042871574</v>
      </c>
      <c r="AF9" s="53">
        <f>18000*(L9*Z9)*AB9/36000</f>
        <v>93.709325533373956</v>
      </c>
      <c r="AG9" s="323">
        <f>34.8 * M9 * EXP(0.0234 * G9) * U9 ^ -2.1</f>
        <v>0.6571155672987371</v>
      </c>
    </row>
    <row r="10" spans="1:33" x14ac:dyDescent="0.25">
      <c r="A10" s="23" t="str">
        <f>Weather_Site!A13</f>
        <v>Mon</v>
      </c>
      <c r="B10" s="24">
        <f>Weather_Site!B13</f>
        <v>41281</v>
      </c>
      <c r="C10" s="25">
        <f>Weather_Site!C13</f>
        <v>0.25</v>
      </c>
      <c r="D10" s="27">
        <f>Weather_Site!D13</f>
        <v>17.5</v>
      </c>
      <c r="E10" s="27">
        <f>Weather_Site!E13</f>
        <v>94.5</v>
      </c>
      <c r="F10" s="28">
        <f>Weather_Site!F13</f>
        <v>166</v>
      </c>
      <c r="G10" s="27">
        <f>Weather_Site!G13</f>
        <v>3</v>
      </c>
      <c r="H10" s="27">
        <f>IF(Weather_Site!M13&lt;180,Weather_Site!M13+180,Weather_Site!M13-180)</f>
        <v>346</v>
      </c>
      <c r="I10" s="172">
        <f t="shared" ref="I10:I14" si="0">C$5</f>
        <v>0</v>
      </c>
      <c r="J10" s="214">
        <f t="shared" ref="J10:J13" si="1">J$4</f>
        <v>3</v>
      </c>
      <c r="K10" s="27">
        <f t="shared" ref="K10:K25" si="2">G10/J10</f>
        <v>1</v>
      </c>
      <c r="L10" s="172">
        <f t="shared" ref="L10:L11" si="3">C$4</f>
        <v>24</v>
      </c>
      <c r="M10" s="32">
        <f>IF(Use_BOM_DF,Weather_Site!H13,IF(0.191*(Weather_Site!K13+104)*(Weather_Site!J13+1)^1.5/(3.52*(Weather_Site!J13+1)^1.5+Weather_Site!I13-1)&gt;10, 10,0.191*(Weather_Site!K13+104)*(Weather_Site!J13+1)^1.5/(3.52*(Weather_Site!J13+1)^1.5+Weather_Site!I13-1)))</f>
        <v>10</v>
      </c>
      <c r="N10" s="32">
        <f t="shared" ref="N10:N25" si="4">2*EXP(-0.45+0.987*LN(M10)-0.0345*E10+0.0338*D10+0.0234*G10*3/J10)</f>
        <v>0.92058003695395629</v>
      </c>
      <c r="O10" s="33">
        <f t="shared" ref="O10:O25" si="5">0.0012*N10*L10*EXP(0.069*I10)*1000</f>
        <v>26.512705064273941</v>
      </c>
      <c r="P10" s="33">
        <f t="shared" ref="P10:P25" si="6">0.0012*X10*L10*EXP(0.069*0)*1000</f>
        <v>24.715338788820659</v>
      </c>
      <c r="Q10" s="266">
        <f t="shared" ref="Q10:Q25" si="7">(13*O10/EXP(0.069*I10)/1000+0.24*L10-2)</f>
        <v>4.1046651658355611</v>
      </c>
      <c r="R10" s="268">
        <f t="shared" ref="R10:R25" si="8">IF((O10/1000*(4.17-0.033*L10)-0.36)*1000&lt;0,0,(O10/1000*(4.17-0.033*L10)-0.36)*1000)</f>
        <v>0</v>
      </c>
      <c r="S10" s="42">
        <f t="shared" ref="S10:S25" si="9">516.7*L10*M10/10*O10/1000</f>
        <v>328.77875296104833</v>
      </c>
      <c r="T10" s="42">
        <f t="shared" ref="T10:T25" si="10">1860*L10*M10/10</f>
        <v>44640</v>
      </c>
      <c r="U10" s="32">
        <f t="shared" ref="U10:U25" si="11">3.033808*EXP(E10*(-0.00033169*D10+0.02638614))</f>
        <v>21.21644288067618</v>
      </c>
      <c r="V10" s="33">
        <f t="shared" ref="V10:V25" si="12">G10/3</f>
        <v>1</v>
      </c>
      <c r="W10" s="33">
        <f t="shared" ref="W10:W25" si="13">G10/1.2</f>
        <v>2.5</v>
      </c>
      <c r="X10" s="32">
        <f t="shared" ref="X10:X25" si="14">2*EXP(-0.45+0.987*LN(M10)-0.0345*E10+0.0338*D10+0.0234*0)</f>
        <v>0.85817148572293966</v>
      </c>
      <c r="Y10" s="266">
        <f t="shared" ref="Y10:Y25" si="15">IF(HOUR(C10)&lt;12,12.519-(0.282*D10)+(0.112*E10),6.783-(0.17*D10)+(0.133*E10))</f>
        <v>18.167999999999999</v>
      </c>
      <c r="Z10" s="266">
        <f>IF(Use_BOM_DF,M10/10,MIN(0.972+(0.342*LN(Weather_Site!J13))-(0.245*LN(Weather_Site!I13)),1))</f>
        <v>1</v>
      </c>
      <c r="AA10" s="265">
        <f t="shared" ref="AA10:AA25" si="16">(0.22*L10*EXP(0.158*(1.674+0.179*G10)-0.227*Y10))*Z10*60</f>
        <v>7.2679382906272973</v>
      </c>
      <c r="AB10" s="265">
        <f t="shared" ref="AB10:AB25" si="17">AA10*EXP(0.0662*I10)</f>
        <v>7.2679382906272973</v>
      </c>
      <c r="AC10" s="265">
        <f t="shared" ref="AC10:AC25" si="18">(0.22*L10*EXP(0.158*0-0.227*Y10))*Z10*60</f>
        <v>5.1250211914872814</v>
      </c>
      <c r="AD10" s="266">
        <f t="shared" ref="AD10:AD25" si="19">0.3048*31.7537*(1-EXP(-0.31772*AB10/18.3))*(1-EXP(-(0.03644*1.1289^(AB10/18.3))*(Z10*L10/2.2417)))</f>
        <v>0.38544212550706514</v>
      </c>
      <c r="AE10" s="32">
        <f t="shared" ref="AE10:AE25" si="20">IF(D10&lt;20,-2.19+(2.23*SQRT(AA10)),-0.296+(2.23*SQRT(AA10)))</f>
        <v>3.8218824277808765</v>
      </c>
      <c r="AF10" s="42">
        <f t="shared" ref="AF10:AF25" si="21">18000*(L10*Z10)*AB10/36000</f>
        <v>87.215259487527561</v>
      </c>
      <c r="AG10" s="83">
        <f t="shared" ref="AG10:AG25" si="22">34.8 * M10 * EXP(0.0234 * G10) * U10 ^ -2.1</f>
        <v>0.61101843626483221</v>
      </c>
    </row>
    <row r="11" spans="1:33" x14ac:dyDescent="0.25">
      <c r="A11" s="23" t="str">
        <f>Weather_Site!A14</f>
        <v>Mon</v>
      </c>
      <c r="B11" s="24">
        <f>Weather_Site!B14</f>
        <v>41281</v>
      </c>
      <c r="C11" s="25">
        <f>Weather_Site!C14</f>
        <v>0.29166666666666669</v>
      </c>
      <c r="D11" s="27">
        <f>Weather_Site!D14</f>
        <v>17.7</v>
      </c>
      <c r="E11" s="27">
        <f>Weather_Site!E14</f>
        <v>92.7</v>
      </c>
      <c r="F11" s="28">
        <f>Weather_Site!F14</f>
        <v>162</v>
      </c>
      <c r="G11" s="27">
        <f>Weather_Site!G14</f>
        <v>2</v>
      </c>
      <c r="H11" s="27">
        <f>IF(Weather_Site!M14&lt;180,Weather_Site!M14+180,Weather_Site!M14-180)</f>
        <v>342</v>
      </c>
      <c r="I11" s="172">
        <f t="shared" si="0"/>
        <v>0</v>
      </c>
      <c r="J11" s="214">
        <f t="shared" si="1"/>
        <v>3</v>
      </c>
      <c r="K11" s="27">
        <f t="shared" si="2"/>
        <v>0.66666666666666663</v>
      </c>
      <c r="L11" s="172">
        <f t="shared" si="3"/>
        <v>24</v>
      </c>
      <c r="M11" s="32">
        <f>IF(Use_BOM_DF,Weather_Site!H14,IF(0.191*(Weather_Site!K14+104)*(Weather_Site!J14+1)^1.5/(3.52*(Weather_Site!J14+1)^1.5+Weather_Site!I14-1)&gt;10, 10,0.191*(Weather_Site!K14+104)*(Weather_Site!J14+1)^1.5/(3.52*(Weather_Site!J14+1)^1.5+Weather_Site!I14-1)))</f>
        <v>10</v>
      </c>
      <c r="N11" s="32">
        <f t="shared" si="4"/>
        <v>0.96339542591394534</v>
      </c>
      <c r="O11" s="33">
        <f t="shared" si="5"/>
        <v>27.745788266321625</v>
      </c>
      <c r="P11" s="33">
        <f t="shared" si="6"/>
        <v>26.477201831965907</v>
      </c>
      <c r="Q11" s="266">
        <f t="shared" si="7"/>
        <v>4.120695247462181</v>
      </c>
      <c r="R11" s="268">
        <f t="shared" si="8"/>
        <v>0</v>
      </c>
      <c r="S11" s="42">
        <f t="shared" si="9"/>
        <v>344.06997113300127</v>
      </c>
      <c r="T11" s="42">
        <f t="shared" si="10"/>
        <v>44640</v>
      </c>
      <c r="U11" s="32">
        <f t="shared" si="11"/>
        <v>20.319482178192569</v>
      </c>
      <c r="V11" s="33">
        <f t="shared" si="12"/>
        <v>0.66666666666666663</v>
      </c>
      <c r="W11" s="33">
        <f t="shared" si="13"/>
        <v>1.6666666666666667</v>
      </c>
      <c r="X11" s="32">
        <f t="shared" si="14"/>
        <v>0.91934728583214975</v>
      </c>
      <c r="Y11" s="266">
        <f t="shared" si="15"/>
        <v>17.91</v>
      </c>
      <c r="Z11" s="266">
        <f>IF(Use_BOM_DF,M11/10,MIN(0.972+(0.342*LN(Weather_Site!J14))-(0.245*LN(Weather_Site!I14)),1))</f>
        <v>1</v>
      </c>
      <c r="AA11" s="265">
        <f t="shared" si="16"/>
        <v>7.4914072216373446</v>
      </c>
      <c r="AB11" s="265">
        <f t="shared" si="17"/>
        <v>7.4914072216373446</v>
      </c>
      <c r="AC11" s="265">
        <f t="shared" si="18"/>
        <v>5.4341366610372805</v>
      </c>
      <c r="AD11" s="266">
        <f t="shared" si="19"/>
        <v>0.39701516956767813</v>
      </c>
      <c r="AE11" s="32">
        <f t="shared" si="20"/>
        <v>3.9136070460409189</v>
      </c>
      <c r="AF11" s="42">
        <f t="shared" si="21"/>
        <v>89.896886659648146</v>
      </c>
      <c r="AG11" s="83">
        <f t="shared" si="22"/>
        <v>0.65356334926390658</v>
      </c>
    </row>
    <row r="12" spans="1:33" x14ac:dyDescent="0.25">
      <c r="A12" s="23" t="str">
        <f>Weather_Site!A15</f>
        <v>Mon</v>
      </c>
      <c r="B12" s="24">
        <f>Weather_Site!B15</f>
        <v>41281</v>
      </c>
      <c r="C12" s="25">
        <f>Weather_Site!C15</f>
        <v>0.33333333333333331</v>
      </c>
      <c r="D12" s="27">
        <f>Weather_Site!D15</f>
        <v>18.399999999999999</v>
      </c>
      <c r="E12" s="27">
        <f>Weather_Site!E15</f>
        <v>87</v>
      </c>
      <c r="F12" s="28">
        <f>Weather_Site!F15</f>
        <v>160</v>
      </c>
      <c r="G12" s="27">
        <f>Weather_Site!G15</f>
        <v>2</v>
      </c>
      <c r="H12" s="27">
        <f>IF(Weather_Site!M15&lt;180,Weather_Site!M15+180,Weather_Site!M15-180)</f>
        <v>340</v>
      </c>
      <c r="I12" s="172">
        <f t="shared" si="0"/>
        <v>0</v>
      </c>
      <c r="J12" s="214">
        <f t="shared" si="1"/>
        <v>3</v>
      </c>
      <c r="K12" s="27">
        <f t="shared" si="2"/>
        <v>0.66666666666666663</v>
      </c>
      <c r="L12" s="172">
        <f t="shared" ref="L12:L13" si="23">C$4</f>
        <v>24</v>
      </c>
      <c r="M12" s="32">
        <f>IF(Use_BOM_DF,Weather_Site!H15,IF(0.191*(Weather_Site!K15+104)*(Weather_Site!J15+1)^1.5/(3.52*(Weather_Site!J15+1)^1.5+Weather_Site!I15-1)&gt;10, 10,0.191*(Weather_Site!K15+104)*(Weather_Site!J15+1)^1.5/(3.52*(Weather_Site!J15+1)^1.5+Weather_Site!I15-1)))</f>
        <v>6.3278138802666488</v>
      </c>
      <c r="N12" s="32">
        <f t="shared" si="4"/>
        <v>0.76440126315765422</v>
      </c>
      <c r="O12" s="33">
        <f t="shared" si="5"/>
        <v>22.014756378940437</v>
      </c>
      <c r="P12" s="33">
        <f t="shared" si="6"/>
        <v>21.008202842601779</v>
      </c>
      <c r="Q12" s="266">
        <f t="shared" si="7"/>
        <v>4.0461918329262252</v>
      </c>
      <c r="R12" s="268">
        <f t="shared" si="8"/>
        <v>0</v>
      </c>
      <c r="S12" s="42">
        <f t="shared" si="9"/>
        <v>172.7496928443104</v>
      </c>
      <c r="T12" s="42">
        <f t="shared" si="10"/>
        <v>28247.361161510322</v>
      </c>
      <c r="U12" s="32">
        <f t="shared" si="11"/>
        <v>17.715561323043215</v>
      </c>
      <c r="V12" s="33">
        <f t="shared" si="12"/>
        <v>0.66666666666666663</v>
      </c>
      <c r="W12" s="33">
        <f t="shared" si="13"/>
        <v>1.6666666666666667</v>
      </c>
      <c r="X12" s="32">
        <f t="shared" si="14"/>
        <v>0.72945148759033962</v>
      </c>
      <c r="Y12" s="266">
        <f t="shared" si="15"/>
        <v>17.074200000000001</v>
      </c>
      <c r="Z12" s="266">
        <f>IF(Use_BOM_DF,M12/10,MIN(0.972+(0.342*LN(Weather_Site!J15))-(0.245*LN(Weather_Site!I15)),1))</f>
        <v>0.64492298796795999</v>
      </c>
      <c r="AA12" s="265">
        <f t="shared" si="16"/>
        <v>5.8407481243843247</v>
      </c>
      <c r="AB12" s="265">
        <f t="shared" si="17"/>
        <v>5.8407481243843247</v>
      </c>
      <c r="AC12" s="265">
        <f t="shared" si="18"/>
        <v>4.2367772264373755</v>
      </c>
      <c r="AD12" s="266">
        <f t="shared" si="19"/>
        <v>0.21478756716849703</v>
      </c>
      <c r="AE12" s="32">
        <f t="shared" si="20"/>
        <v>3.1993836704906076</v>
      </c>
      <c r="AF12" s="42">
        <f t="shared" si="21"/>
        <v>45.201992788154364</v>
      </c>
      <c r="AG12" s="83">
        <f t="shared" si="22"/>
        <v>0.55158518814536395</v>
      </c>
    </row>
    <row r="13" spans="1:33" x14ac:dyDescent="0.25">
      <c r="A13" s="23" t="str">
        <f>Weather_Site!A16</f>
        <v>Mon</v>
      </c>
      <c r="B13" s="24">
        <f>Weather_Site!B16</f>
        <v>41281</v>
      </c>
      <c r="C13" s="25">
        <f>Weather_Site!C16</f>
        <v>0.375</v>
      </c>
      <c r="D13" s="27">
        <f>Weather_Site!D16</f>
        <v>19.8</v>
      </c>
      <c r="E13" s="27">
        <f>Weather_Site!E16</f>
        <v>78.3</v>
      </c>
      <c r="F13" s="28">
        <f>Weather_Site!F16</f>
        <v>123</v>
      </c>
      <c r="G13" s="27">
        <f>Weather_Site!G16</f>
        <v>4</v>
      </c>
      <c r="H13" s="27">
        <f>IF(Weather_Site!M16&lt;180,Weather_Site!M16+180,Weather_Site!M16-180)</f>
        <v>303</v>
      </c>
      <c r="I13" s="172">
        <f t="shared" si="0"/>
        <v>0</v>
      </c>
      <c r="J13" s="214">
        <f t="shared" si="1"/>
        <v>3</v>
      </c>
      <c r="K13" s="27">
        <f t="shared" si="2"/>
        <v>1.3333333333333333</v>
      </c>
      <c r="L13" s="172">
        <f t="shared" si="23"/>
        <v>24</v>
      </c>
      <c r="M13" s="32">
        <f>IF(Use_BOM_DF,Weather_Site!H16,IF(0.191*(Weather_Site!K16+104)*(Weather_Site!J16+1)^1.5/(3.52*(Weather_Site!J16+1)^1.5+Weather_Site!I16-1)&gt;10, 10,0.191*(Weather_Site!K16+104)*(Weather_Site!J16+1)^1.5/(3.52*(Weather_Site!J16+1)^1.5+Weather_Site!I16-1)))</f>
        <v>4.1167249825052483</v>
      </c>
      <c r="N13" s="32">
        <f t="shared" si="4"/>
        <v>0.74178144140621449</v>
      </c>
      <c r="O13" s="33">
        <f t="shared" si="5"/>
        <v>21.363305512498975</v>
      </c>
      <c r="P13" s="33">
        <f t="shared" si="6"/>
        <v>19.45442896795133</v>
      </c>
      <c r="Q13" s="266">
        <f t="shared" si="7"/>
        <v>4.0377229716624861</v>
      </c>
      <c r="R13" s="268">
        <f t="shared" si="8"/>
        <v>0</v>
      </c>
      <c r="S13" s="42">
        <f t="shared" si="9"/>
        <v>109.0611341034048</v>
      </c>
      <c r="T13" s="42">
        <f t="shared" si="10"/>
        <v>18377.060321903431</v>
      </c>
      <c r="U13" s="32">
        <f t="shared" si="11"/>
        <v>14.319483372308097</v>
      </c>
      <c r="V13" s="33">
        <f t="shared" si="12"/>
        <v>1.3333333333333333</v>
      </c>
      <c r="W13" s="33">
        <f t="shared" si="13"/>
        <v>3.3333333333333335</v>
      </c>
      <c r="X13" s="32">
        <f t="shared" si="14"/>
        <v>0.67550100583164341</v>
      </c>
      <c r="Y13" s="266">
        <f t="shared" si="15"/>
        <v>15.705000000000002</v>
      </c>
      <c r="Z13" s="266">
        <f>IF(Use_BOM_DF,M13/10,MIN(0.972+(0.342*LN(Weather_Site!J16))-(0.245*LN(Weather_Site!I16)),1))</f>
        <v>0.51443204421726552</v>
      </c>
      <c r="AA13" s="265">
        <f t="shared" si="16"/>
        <v>6.727232537942851</v>
      </c>
      <c r="AB13" s="265">
        <f t="shared" si="17"/>
        <v>6.727232537942851</v>
      </c>
      <c r="AC13" s="265">
        <f t="shared" si="18"/>
        <v>4.6114569408027961</v>
      </c>
      <c r="AD13" s="266">
        <f t="shared" si="19"/>
        <v>0.20195294111499029</v>
      </c>
      <c r="AE13" s="32">
        <f t="shared" si="20"/>
        <v>3.5939307298701295</v>
      </c>
      <c r="AF13" s="42">
        <f t="shared" si="21"/>
        <v>41.528447837026121</v>
      </c>
      <c r="AG13" s="83">
        <f t="shared" si="22"/>
        <v>0.58794083991543544</v>
      </c>
    </row>
    <row r="14" spans="1:33" x14ac:dyDescent="0.25">
      <c r="A14" s="23" t="str">
        <f>Weather_Site!A17</f>
        <v>Mon</v>
      </c>
      <c r="B14" s="24">
        <f>Weather_Site!B17</f>
        <v>41281</v>
      </c>
      <c r="C14" s="25">
        <f>Weather_Site!C17</f>
        <v>0.41666666666666669</v>
      </c>
      <c r="D14" s="27">
        <f>Weather_Site!D17</f>
        <v>21.7</v>
      </c>
      <c r="E14" s="27">
        <f>Weather_Site!E17</f>
        <v>69.599999999999994</v>
      </c>
      <c r="F14" s="28">
        <f>Weather_Site!F17</f>
        <v>51</v>
      </c>
      <c r="G14" s="27">
        <f>Weather_Site!G17</f>
        <v>6</v>
      </c>
      <c r="H14" s="27">
        <f>IF(Weather_Site!M17&lt;180,Weather_Site!M17+180,Weather_Site!M17-180)</f>
        <v>231</v>
      </c>
      <c r="I14" s="172">
        <f t="shared" si="0"/>
        <v>0</v>
      </c>
      <c r="J14" s="214">
        <f t="shared" ref="J14:J25" si="24">J$4</f>
        <v>3</v>
      </c>
      <c r="K14" s="27">
        <f t="shared" si="2"/>
        <v>2</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2.1246708055395747</v>
      </c>
      <c r="O14" s="33">
        <f t="shared" si="5"/>
        <v>61.190519199539743</v>
      </c>
      <c r="P14" s="33">
        <f t="shared" si="6"/>
        <v>53.175207456882006</v>
      </c>
      <c r="Q14" s="266">
        <f t="shared" si="7"/>
        <v>4.5554767495940167</v>
      </c>
      <c r="R14" s="42">
        <f t="shared" si="8"/>
        <v>0</v>
      </c>
      <c r="S14" s="42">
        <f t="shared" si="9"/>
        <v>598.13608970978009</v>
      </c>
      <c r="T14" s="42">
        <f t="shared" si="10"/>
        <v>35187.657142857141</v>
      </c>
      <c r="U14" s="32">
        <f t="shared" si="11"/>
        <v>11.534423353270395</v>
      </c>
      <c r="V14" s="33">
        <f t="shared" si="12"/>
        <v>2</v>
      </c>
      <c r="W14" s="33">
        <f t="shared" si="13"/>
        <v>5</v>
      </c>
      <c r="X14" s="32">
        <f t="shared" si="14"/>
        <v>1.8463613700306256</v>
      </c>
      <c r="Y14" s="266">
        <f t="shared" si="15"/>
        <v>14.194800000000001</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1.8579284767016353</v>
      </c>
    </row>
    <row r="15" spans="1:33" x14ac:dyDescent="0.25">
      <c r="A15" s="45" t="str">
        <f>Weather_Site!A18</f>
        <v>Mon</v>
      </c>
      <c r="B15" s="46">
        <f>Weather_Site!B18</f>
        <v>41281</v>
      </c>
      <c r="C15" s="47">
        <f>Weather_Site!C18</f>
        <v>0.45833333333333331</v>
      </c>
      <c r="D15" s="48">
        <f>Weather_Site!D18</f>
        <v>23.6</v>
      </c>
      <c r="E15" s="48">
        <f>Weather_Site!E18</f>
        <v>62.1</v>
      </c>
      <c r="F15" s="49">
        <f>Weather_Site!F18</f>
        <v>14</v>
      </c>
      <c r="G15" s="48">
        <f>Weather_Site!G18</f>
        <v>9</v>
      </c>
      <c r="H15" s="48">
        <f>IF(Weather_Site!M18&lt;180,Weather_Site!M18+180,Weather_Site!M18-180)</f>
        <v>194</v>
      </c>
      <c r="I15" s="172">
        <f t="shared" ref="I15:I25" si="26">C$5</f>
        <v>0</v>
      </c>
      <c r="J15" s="214">
        <f t="shared" si="24"/>
        <v>3</v>
      </c>
      <c r="K15" s="48">
        <f t="shared" si="2"/>
        <v>3</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3.1480615275701234</v>
      </c>
      <c r="O15" s="52">
        <f t="shared" si="5"/>
        <v>90.664171994019554</v>
      </c>
      <c r="P15" s="52">
        <f t="shared" si="6"/>
        <v>73.446868148313939</v>
      </c>
      <c r="Q15" s="51">
        <f t="shared" si="7"/>
        <v>4.9386342359222537</v>
      </c>
      <c r="R15" s="53">
        <f t="shared" si="8"/>
        <v>0</v>
      </c>
      <c r="S15" s="53">
        <f t="shared" si="9"/>
        <v>886.24045068873534</v>
      </c>
      <c r="T15" s="53">
        <f t="shared" si="10"/>
        <v>35187.657142857141</v>
      </c>
      <c r="U15" s="51">
        <f t="shared" si="11"/>
        <v>9.60502398859804</v>
      </c>
      <c r="V15" s="52">
        <f t="shared" si="12"/>
        <v>3</v>
      </c>
      <c r="W15" s="52">
        <f t="shared" si="13"/>
        <v>7.5</v>
      </c>
      <c r="X15" s="51">
        <f t="shared" si="14"/>
        <v>2.5502384773720124</v>
      </c>
      <c r="Y15" s="51">
        <f t="shared" si="15"/>
        <v>12.819000000000001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2.9272584916295554</v>
      </c>
    </row>
    <row r="16" spans="1:33" x14ac:dyDescent="0.25">
      <c r="A16" s="45" t="str">
        <f>Weather_Site!A19</f>
        <v>Mon</v>
      </c>
      <c r="B16" s="46">
        <f>Weather_Site!B19</f>
        <v>41281</v>
      </c>
      <c r="C16" s="47">
        <f>Weather_Site!C19</f>
        <v>0.5</v>
      </c>
      <c r="D16" s="48">
        <f>Weather_Site!D19</f>
        <v>25.7</v>
      </c>
      <c r="E16" s="48">
        <f>Weather_Site!E19</f>
        <v>55.1</v>
      </c>
      <c r="F16" s="49">
        <f>Weather_Site!F19</f>
        <v>23</v>
      </c>
      <c r="G16" s="48">
        <f>Weather_Site!G19</f>
        <v>11</v>
      </c>
      <c r="H16" s="48">
        <f>IF(Weather_Site!M19&lt;180,Weather_Site!M19+180,Weather_Site!M19-180)</f>
        <v>203</v>
      </c>
      <c r="I16" s="172">
        <f t="shared" si="26"/>
        <v>0</v>
      </c>
      <c r="J16" s="214">
        <f t="shared" si="24"/>
        <v>3</v>
      </c>
      <c r="K16" s="48">
        <f t="shared" si="2"/>
        <v>3.6666666666666665</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4.5089615649818464</v>
      </c>
      <c r="O16" s="52">
        <f t="shared" si="5"/>
        <v>129.85809307147716</v>
      </c>
      <c r="P16" s="52">
        <f t="shared" si="6"/>
        <v>100.38795826626166</v>
      </c>
      <c r="Q16" s="51">
        <f t="shared" si="7"/>
        <v>5.4481552099292028</v>
      </c>
      <c r="R16" s="53">
        <f t="shared" si="8"/>
        <v>78.660638395449894</v>
      </c>
      <c r="S16" s="53">
        <f t="shared" si="9"/>
        <v>1269.3602378769531</v>
      </c>
      <c r="T16" s="53">
        <f t="shared" si="10"/>
        <v>35187.657142857141</v>
      </c>
      <c r="U16" s="51">
        <f t="shared" si="11"/>
        <v>8.1173086470807725</v>
      </c>
      <c r="V16" s="52">
        <f t="shared" si="12"/>
        <v>3.6666666666666665</v>
      </c>
      <c r="W16" s="52">
        <f t="shared" si="13"/>
        <v>9.1666666666666679</v>
      </c>
      <c r="X16" s="51">
        <f t="shared" si="14"/>
        <v>3.4856929953563078</v>
      </c>
      <c r="Y16" s="51">
        <f t="shared" si="15"/>
        <v>9.7423000000000002</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4.3678476738088161</v>
      </c>
    </row>
    <row r="17" spans="1:33" x14ac:dyDescent="0.25">
      <c r="A17" s="45" t="str">
        <f>Weather_Site!A20</f>
        <v>Mon</v>
      </c>
      <c r="B17" s="46">
        <f>Weather_Site!B20</f>
        <v>41281</v>
      </c>
      <c r="C17" s="47">
        <f>Weather_Site!C20</f>
        <v>0.54166666666666663</v>
      </c>
      <c r="D17" s="48">
        <f>Weather_Site!D20</f>
        <v>27.8</v>
      </c>
      <c r="E17" s="48">
        <f>Weather_Site!E20</f>
        <v>48.7</v>
      </c>
      <c r="F17" s="49">
        <f>Weather_Site!F20</f>
        <v>39</v>
      </c>
      <c r="G17" s="48">
        <f>Weather_Site!G20</f>
        <v>13</v>
      </c>
      <c r="H17" s="48">
        <f>IF(Weather_Site!M20&lt;180,Weather_Site!M20+180,Weather_Site!M20-180)</f>
        <v>219</v>
      </c>
      <c r="I17" s="172">
        <f t="shared" si="26"/>
        <v>0</v>
      </c>
      <c r="J17" s="214">
        <f t="shared" si="24"/>
        <v>3</v>
      </c>
      <c r="K17" s="48">
        <f t="shared" si="2"/>
        <v>4.333333333333333</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6.3258655767885132</v>
      </c>
      <c r="O17" s="52">
        <f t="shared" si="5"/>
        <v>182.18492861150915</v>
      </c>
      <c r="P17" s="52">
        <f t="shared" si="6"/>
        <v>134.40024654203469</v>
      </c>
      <c r="Q17" s="51">
        <f t="shared" si="7"/>
        <v>6.1284040719496176</v>
      </c>
      <c r="R17" s="53">
        <f t="shared" si="8"/>
        <v>255.42068884967796</v>
      </c>
      <c r="S17" s="53">
        <f t="shared" si="9"/>
        <v>1780.8539987770389</v>
      </c>
      <c r="T17" s="53">
        <f t="shared" si="10"/>
        <v>35187.657142857141</v>
      </c>
      <c r="U17" s="51">
        <f t="shared" si="11"/>
        <v>6.9989615687470419</v>
      </c>
      <c r="V17" s="52">
        <f t="shared" si="12"/>
        <v>4.333333333333333</v>
      </c>
      <c r="W17" s="52">
        <f t="shared" si="13"/>
        <v>10.833333333333334</v>
      </c>
      <c r="X17" s="51">
        <f t="shared" si="14"/>
        <v>4.6666752271539833</v>
      </c>
      <c r="Y17" s="51">
        <f t="shared" si="15"/>
        <v>8.5341000000000005</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6.2486645750887364</v>
      </c>
    </row>
    <row r="18" spans="1:33" x14ac:dyDescent="0.25">
      <c r="A18" s="45" t="str">
        <f>Weather_Site!A21</f>
        <v>Mon</v>
      </c>
      <c r="B18" s="46">
        <f>Weather_Site!B21</f>
        <v>41281</v>
      </c>
      <c r="C18" s="47">
        <f>Weather_Site!C21</f>
        <v>0.58333333333333337</v>
      </c>
      <c r="D18" s="48">
        <f>Weather_Site!D21</f>
        <v>29.4</v>
      </c>
      <c r="E18" s="48">
        <f>Weather_Site!E21</f>
        <v>44.1</v>
      </c>
      <c r="F18" s="49">
        <f>Weather_Site!F21</f>
        <v>47</v>
      </c>
      <c r="G18" s="48">
        <f>Weather_Site!G21</f>
        <v>15</v>
      </c>
      <c r="H18" s="48">
        <f>IF(Weather_Site!M21&lt;180,Weather_Site!M21+180,Weather_Site!M21-180)</f>
        <v>227</v>
      </c>
      <c r="I18" s="172">
        <f t="shared" si="26"/>
        <v>0</v>
      </c>
      <c r="J18" s="214">
        <f t="shared" si="24"/>
        <v>3</v>
      </c>
      <c r="K18" s="48">
        <f t="shared" si="2"/>
        <v>5</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8.2007603479858595</v>
      </c>
      <c r="O18" s="52">
        <f t="shared" si="5"/>
        <v>236.18189802199274</v>
      </c>
      <c r="P18" s="52">
        <f t="shared" si="6"/>
        <v>166.26821916226791</v>
      </c>
      <c r="Q18" s="51">
        <f t="shared" si="7"/>
        <v>6.8303646742859048</v>
      </c>
      <c r="R18" s="53">
        <f t="shared" si="8"/>
        <v>437.82245151829159</v>
      </c>
      <c r="S18" s="53">
        <f t="shared" si="9"/>
        <v>2308.6732845399906</v>
      </c>
      <c r="T18" s="53">
        <f t="shared" si="10"/>
        <v>35187.657142857141</v>
      </c>
      <c r="U18" s="51">
        <f t="shared" si="11"/>
        <v>6.3179704011808182</v>
      </c>
      <c r="V18" s="52">
        <f t="shared" si="12"/>
        <v>5</v>
      </c>
      <c r="W18" s="52">
        <f t="shared" si="13"/>
        <v>12.5</v>
      </c>
      <c r="X18" s="51">
        <f t="shared" si="14"/>
        <v>5.7732020542454139</v>
      </c>
      <c r="Y18" s="51">
        <f t="shared" si="15"/>
        <v>7.6503000000000005</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8.1183886848208537</v>
      </c>
    </row>
    <row r="19" spans="1:33" x14ac:dyDescent="0.25">
      <c r="A19" s="45" t="str">
        <f>Weather_Site!A22</f>
        <v>Mon</v>
      </c>
      <c r="B19" s="46">
        <f>Weather_Site!B22</f>
        <v>41281</v>
      </c>
      <c r="C19" s="47">
        <f>Weather_Site!C22</f>
        <v>0.625</v>
      </c>
      <c r="D19" s="48">
        <f>Weather_Site!D22</f>
        <v>29.2</v>
      </c>
      <c r="E19" s="48">
        <f>Weather_Site!E22</f>
        <v>44.4</v>
      </c>
      <c r="F19" s="49">
        <f>Weather_Site!F22</f>
        <v>52</v>
      </c>
      <c r="G19" s="48">
        <f>Weather_Site!G22</f>
        <v>16</v>
      </c>
      <c r="H19" s="48">
        <f>IF(Weather_Site!M22&lt;180,Weather_Site!M22+180,Weather_Site!M22-180)</f>
        <v>232</v>
      </c>
      <c r="I19" s="172">
        <f t="shared" si="26"/>
        <v>0</v>
      </c>
      <c r="J19" s="214">
        <f t="shared" si="24"/>
        <v>3</v>
      </c>
      <c r="K19" s="48">
        <f t="shared" si="2"/>
        <v>5.333333333333333</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8.2525056990992027</v>
      </c>
      <c r="O19" s="52">
        <f t="shared" si="5"/>
        <v>237.672164134057</v>
      </c>
      <c r="P19" s="52">
        <f t="shared" si="6"/>
        <v>163.44756940334835</v>
      </c>
      <c r="Q19" s="51">
        <f t="shared" si="7"/>
        <v>6.8497381337427399</v>
      </c>
      <c r="R19" s="53">
        <f t="shared" si="8"/>
        <v>442.85657044484464</v>
      </c>
      <c r="S19" s="53">
        <f t="shared" si="9"/>
        <v>2323.2406056962363</v>
      </c>
      <c r="T19" s="53">
        <f t="shared" si="10"/>
        <v>35187.657142857141</v>
      </c>
      <c r="U19" s="51">
        <f t="shared" si="11"/>
        <v>6.3683076607111717</v>
      </c>
      <c r="V19" s="52">
        <f t="shared" si="12"/>
        <v>5.333333333333333</v>
      </c>
      <c r="W19" s="52">
        <f t="shared" si="13"/>
        <v>13.333333333333334</v>
      </c>
      <c r="X19" s="51">
        <f t="shared" si="14"/>
        <v>5.6752628265051515</v>
      </c>
      <c r="Y19" s="51">
        <f t="shared" si="15"/>
        <v>7.7241999999999997</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8.1732500729290276</v>
      </c>
    </row>
    <row r="20" spans="1:33" x14ac:dyDescent="0.25">
      <c r="A20" s="23" t="str">
        <f>Weather_Site!A23</f>
        <v>Mon</v>
      </c>
      <c r="B20" s="24">
        <f>Weather_Site!B23</f>
        <v>41281</v>
      </c>
      <c r="C20" s="25">
        <f>Weather_Site!C23</f>
        <v>0.66666666666666663</v>
      </c>
      <c r="D20" s="27">
        <f>Weather_Site!D23</f>
        <v>28.2</v>
      </c>
      <c r="E20" s="27">
        <f>Weather_Site!E23</f>
        <v>48.2</v>
      </c>
      <c r="F20" s="28">
        <f>Weather_Site!F23</f>
        <v>63</v>
      </c>
      <c r="G20" s="27">
        <f>Weather_Site!G23</f>
        <v>17</v>
      </c>
      <c r="H20" s="27">
        <f>IF(Weather_Site!M23&lt;180,Weather_Site!M23+180,Weather_Site!M23-180)</f>
        <v>243</v>
      </c>
      <c r="I20" s="172">
        <f t="shared" si="26"/>
        <v>0</v>
      </c>
      <c r="J20" s="214">
        <f t="shared" si="24"/>
        <v>3</v>
      </c>
      <c r="K20" s="27">
        <f t="shared" si="2"/>
        <v>5.666666666666667</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7.1636302836468762</v>
      </c>
      <c r="O20" s="33">
        <f t="shared" si="5"/>
        <v>206.31255216903003</v>
      </c>
      <c r="P20" s="33">
        <f t="shared" si="6"/>
        <v>138.6000243550302</v>
      </c>
      <c r="Q20" s="32">
        <f t="shared" si="7"/>
        <v>6.4420631781973903</v>
      </c>
      <c r="R20" s="42">
        <f t="shared" si="8"/>
        <v>336.92380122698341</v>
      </c>
      <c r="S20" s="42">
        <f t="shared" si="9"/>
        <v>2016.7010319035967</v>
      </c>
      <c r="T20" s="42">
        <f t="shared" si="10"/>
        <v>35187.657142857141</v>
      </c>
      <c r="U20" s="32">
        <f t="shared" si="11"/>
        <v>6.8949153111908368</v>
      </c>
      <c r="V20" s="33">
        <f t="shared" si="12"/>
        <v>5.666666666666667</v>
      </c>
      <c r="W20" s="33">
        <f t="shared" si="13"/>
        <v>14.166666666666668</v>
      </c>
      <c r="X20" s="32">
        <f t="shared" si="14"/>
        <v>4.8125008456607707</v>
      </c>
      <c r="Y20" s="32">
        <f t="shared" si="15"/>
        <v>8.3995999999999995</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7.0810390368293907</v>
      </c>
    </row>
    <row r="21" spans="1:33" x14ac:dyDescent="0.25">
      <c r="A21" s="23" t="str">
        <f>Weather_Site!A24</f>
        <v>Mon</v>
      </c>
      <c r="B21" s="24">
        <f>Weather_Site!B24</f>
        <v>41281</v>
      </c>
      <c r="C21" s="25">
        <f>Weather_Site!C24</f>
        <v>0.70833333333333337</v>
      </c>
      <c r="D21" s="27">
        <f>Weather_Site!D24</f>
        <v>27</v>
      </c>
      <c r="E21" s="27">
        <f>Weather_Site!E24</f>
        <v>54.7</v>
      </c>
      <c r="F21" s="28">
        <f>Weather_Site!F24</f>
        <v>69</v>
      </c>
      <c r="G21" s="27">
        <f>Weather_Site!G24</f>
        <v>17</v>
      </c>
      <c r="H21" s="27">
        <f>IF(Weather_Site!M24&lt;180,Weather_Site!M24+180,Weather_Site!M24-180)</f>
        <v>249</v>
      </c>
      <c r="I21" s="172">
        <f t="shared" si="26"/>
        <v>0</v>
      </c>
      <c r="J21" s="214">
        <f t="shared" si="24"/>
        <v>3</v>
      </c>
      <c r="K21" s="27">
        <f t="shared" si="2"/>
        <v>5.666666666666667</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5.4970241124074652</v>
      </c>
      <c r="O21" s="33">
        <f t="shared" si="5"/>
        <v>158.31429443733498</v>
      </c>
      <c r="P21" s="33">
        <f t="shared" si="6"/>
        <v>106.35496887647858</v>
      </c>
      <c r="Q21" s="32">
        <f t="shared" si="7"/>
        <v>5.8180858276853549</v>
      </c>
      <c r="R21" s="42">
        <f t="shared" si="8"/>
        <v>174.78568660931759</v>
      </c>
      <c r="S21" s="42">
        <f t="shared" si="9"/>
        <v>1547.5190316839571</v>
      </c>
      <c r="T21" s="42">
        <f t="shared" si="10"/>
        <v>35187.657142857141</v>
      </c>
      <c r="U21" s="32">
        <f t="shared" si="11"/>
        <v>7.8716483922117781</v>
      </c>
      <c r="V21" s="33">
        <f t="shared" si="12"/>
        <v>5.666666666666667</v>
      </c>
      <c r="W21" s="33">
        <f t="shared" si="13"/>
        <v>14.166666666666668</v>
      </c>
      <c r="X21" s="32">
        <f t="shared" si="14"/>
        <v>3.6928808637666175</v>
      </c>
      <c r="Y21" s="32">
        <f t="shared" si="15"/>
        <v>9.4680999999999997</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5.3612963269935356</v>
      </c>
    </row>
    <row r="22" spans="1:33" x14ac:dyDescent="0.25">
      <c r="A22" s="23" t="str">
        <f>Weather_Site!A25</f>
        <v>Mon</v>
      </c>
      <c r="B22" s="24">
        <f>Weather_Site!B25</f>
        <v>41281</v>
      </c>
      <c r="C22" s="25">
        <f>Weather_Site!C25</f>
        <v>0.75</v>
      </c>
      <c r="D22" s="27">
        <f>Weather_Site!D25</f>
        <v>25.4</v>
      </c>
      <c r="E22" s="27">
        <f>Weather_Site!E25</f>
        <v>61.7</v>
      </c>
      <c r="F22" s="28">
        <f>Weather_Site!F25</f>
        <v>66</v>
      </c>
      <c r="G22" s="27">
        <f>Weather_Site!G25</f>
        <v>17</v>
      </c>
      <c r="H22" s="27">
        <f>IF(Weather_Site!M25&lt;180,Weather_Site!M25+180,Weather_Site!M25-180)</f>
        <v>246</v>
      </c>
      <c r="I22" s="172">
        <f t="shared" si="26"/>
        <v>0</v>
      </c>
      <c r="J22" s="214">
        <f t="shared" si="24"/>
        <v>3</v>
      </c>
      <c r="K22" s="27">
        <f t="shared" si="2"/>
        <v>5.666666666666667</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4.0903350063180675</v>
      </c>
      <c r="O22" s="33">
        <f t="shared" si="5"/>
        <v>117.80164818196032</v>
      </c>
      <c r="P22" s="33">
        <f t="shared" si="6"/>
        <v>79.138720041161534</v>
      </c>
      <c r="Q22" s="32">
        <f t="shared" si="7"/>
        <v>5.291421426365484</v>
      </c>
      <c r="R22" s="42">
        <f t="shared" si="8"/>
        <v>37.933967558661962</v>
      </c>
      <c r="S22" s="42">
        <f t="shared" si="9"/>
        <v>1151.5087325072893</v>
      </c>
      <c r="T22" s="42">
        <f t="shared" si="10"/>
        <v>35187.657142857141</v>
      </c>
      <c r="U22" s="32">
        <f t="shared" si="11"/>
        <v>9.1891689267086978</v>
      </c>
      <c r="V22" s="33">
        <f t="shared" si="12"/>
        <v>5.666666666666667</v>
      </c>
      <c r="W22" s="33">
        <f t="shared" si="13"/>
        <v>14.166666666666668</v>
      </c>
      <c r="X22" s="32">
        <f t="shared" si="14"/>
        <v>2.7478722236514423</v>
      </c>
      <c r="Y22" s="32">
        <f t="shared" si="15"/>
        <v>10.671100000000001</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3.8737149562498137</v>
      </c>
    </row>
    <row r="23" spans="1:33" x14ac:dyDescent="0.25">
      <c r="A23" s="23" t="str">
        <f>Weather_Site!A26</f>
        <v>Mon</v>
      </c>
      <c r="B23" s="24">
        <f>Weather_Site!B26</f>
        <v>41281</v>
      </c>
      <c r="C23" s="25">
        <f>Weather_Site!C26</f>
        <v>0.79166666666666663</v>
      </c>
      <c r="D23" s="27">
        <f>Weather_Site!D26</f>
        <v>23.5</v>
      </c>
      <c r="E23" s="27">
        <f>Weather_Site!E26</f>
        <v>69.5</v>
      </c>
      <c r="F23" s="28">
        <f>Weather_Site!F26</f>
        <v>60</v>
      </c>
      <c r="G23" s="27">
        <f>Weather_Site!G26</f>
        <v>16</v>
      </c>
      <c r="H23" s="27">
        <f>IF(Weather_Site!M26&lt;180,Weather_Site!M26+180,Weather_Site!M26-180)</f>
        <v>240</v>
      </c>
      <c r="I23" s="172">
        <f t="shared" si="26"/>
        <v>0</v>
      </c>
      <c r="J23" s="214">
        <f t="shared" si="24"/>
        <v>3</v>
      </c>
      <c r="K23" s="27">
        <f t="shared" si="2"/>
        <v>5.333333333333333</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2.8631055012596018</v>
      </c>
      <c r="O23" s="33">
        <f t="shared" si="5"/>
        <v>82.457438436276533</v>
      </c>
      <c r="P23" s="33">
        <f t="shared" si="6"/>
        <v>56.70612686487668</v>
      </c>
      <c r="Q23" s="32">
        <f t="shared" si="7"/>
        <v>4.8319466996715947</v>
      </c>
      <c r="R23" s="42">
        <f t="shared" si="8"/>
        <v>0</v>
      </c>
      <c r="S23" s="42">
        <f t="shared" si="9"/>
        <v>806.01979585965569</v>
      </c>
      <c r="T23" s="42">
        <f t="shared" si="10"/>
        <v>35187.657142857141</v>
      </c>
      <c r="U23" s="32">
        <f t="shared" si="11"/>
        <v>11.044390297008125</v>
      </c>
      <c r="V23" s="33">
        <f t="shared" si="12"/>
        <v>5.333333333333333</v>
      </c>
      <c r="W23" s="33">
        <f t="shared" si="13"/>
        <v>13.333333333333334</v>
      </c>
      <c r="X23" s="32">
        <f t="shared" si="14"/>
        <v>1.968962738363774</v>
      </c>
      <c r="Y23" s="32">
        <f t="shared" si="15"/>
        <v>12.031500000000001</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2.5718616210354841</v>
      </c>
    </row>
    <row r="24" spans="1:33" x14ac:dyDescent="0.25">
      <c r="A24" s="23" t="str">
        <f>Weather_Site!A27</f>
        <v>Mon</v>
      </c>
      <c r="B24" s="24">
        <f>Weather_Site!B27</f>
        <v>41281</v>
      </c>
      <c r="C24" s="25">
        <f>Weather_Site!C27</f>
        <v>0.83333333333333337</v>
      </c>
      <c r="D24" s="27">
        <f>Weather_Site!D27</f>
        <v>21.3</v>
      </c>
      <c r="E24" s="27">
        <f>Weather_Site!E27</f>
        <v>80</v>
      </c>
      <c r="F24" s="28">
        <f>Weather_Site!F27</f>
        <v>57</v>
      </c>
      <c r="G24" s="27">
        <f>Weather_Site!G27</f>
        <v>14</v>
      </c>
      <c r="H24" s="27">
        <f>IF(Weather_Site!M27&lt;180,Weather_Site!M27+180,Weather_Site!M27-180)</f>
        <v>237</v>
      </c>
      <c r="I24" s="172">
        <f t="shared" si="26"/>
        <v>0</v>
      </c>
      <c r="J24" s="214">
        <f t="shared" si="24"/>
        <v>3</v>
      </c>
      <c r="K24" s="27">
        <f t="shared" si="2"/>
        <v>4.666666666666667</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1.7656111222119133</v>
      </c>
      <c r="O24" s="33">
        <f t="shared" si="5"/>
        <v>50.8496003197031</v>
      </c>
      <c r="P24" s="33">
        <f t="shared" si="6"/>
        <v>36.644826636568311</v>
      </c>
      <c r="Q24" s="32">
        <f t="shared" si="7"/>
        <v>4.4210448041561401</v>
      </c>
      <c r="R24" s="42">
        <f t="shared" si="8"/>
        <v>0</v>
      </c>
      <c r="S24" s="42">
        <f t="shared" si="9"/>
        <v>497.05381644745336</v>
      </c>
      <c r="T24" s="42">
        <f t="shared" si="10"/>
        <v>35187.657142857141</v>
      </c>
      <c r="U24" s="32">
        <f t="shared" si="11"/>
        <v>14.232243166690168</v>
      </c>
      <c r="V24" s="33">
        <f t="shared" si="12"/>
        <v>4.666666666666667</v>
      </c>
      <c r="W24" s="33">
        <f t="shared" si="13"/>
        <v>11.666666666666668</v>
      </c>
      <c r="X24" s="32">
        <f t="shared" si="14"/>
        <v>1.2723898137697331</v>
      </c>
      <c r="Y24" s="32">
        <f t="shared" si="15"/>
        <v>13.802</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1.4409411227712348</v>
      </c>
    </row>
    <row r="25" spans="1:33" x14ac:dyDescent="0.25">
      <c r="A25" s="45" t="str">
        <f>Weather_Site!A28</f>
        <v>Mon</v>
      </c>
      <c r="B25" s="46">
        <f>Weather_Site!B28</f>
        <v>41281</v>
      </c>
      <c r="C25" s="47">
        <f>Weather_Site!C28</f>
        <v>0.875</v>
      </c>
      <c r="D25" s="48">
        <f>Weather_Site!D28</f>
        <v>20.100000000000001</v>
      </c>
      <c r="E25" s="48">
        <f>Weather_Site!E28</f>
        <v>86.1</v>
      </c>
      <c r="F25" s="49">
        <f>Weather_Site!F28</f>
        <v>40</v>
      </c>
      <c r="G25" s="48">
        <f>Weather_Site!G28</f>
        <v>12</v>
      </c>
      <c r="H25" s="48">
        <f>IF(Weather_Site!M28&lt;180,Weather_Site!M28+180,Weather_Site!M28-180)</f>
        <v>220</v>
      </c>
      <c r="I25" s="172">
        <f t="shared" si="26"/>
        <v>0</v>
      </c>
      <c r="J25" s="214">
        <f t="shared" si="24"/>
        <v>3</v>
      </c>
      <c r="K25" s="48">
        <f t="shared" si="2"/>
        <v>4</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1.3108645420948664</v>
      </c>
      <c r="O25" s="52">
        <f t="shared" si="5"/>
        <v>37.752898812332155</v>
      </c>
      <c r="P25" s="52">
        <f t="shared" si="6"/>
        <v>28.510209821626006</v>
      </c>
      <c r="Q25" s="51">
        <f t="shared" si="7"/>
        <v>4.2507876845603176</v>
      </c>
      <c r="R25" s="53">
        <f t="shared" si="8"/>
        <v>0</v>
      </c>
      <c r="S25" s="53">
        <f t="shared" si="9"/>
        <v>369.03382364154231</v>
      </c>
      <c r="T25" s="53">
        <f t="shared" si="10"/>
        <v>35187.657142857141</v>
      </c>
      <c r="U25" s="51">
        <f t="shared" si="11"/>
        <v>16.570752092755345</v>
      </c>
      <c r="V25" s="52">
        <f t="shared" si="12"/>
        <v>4</v>
      </c>
      <c r="W25" s="52">
        <f t="shared" si="13"/>
        <v>10</v>
      </c>
      <c r="X25" s="51">
        <f t="shared" si="14"/>
        <v>0.98993784102868077</v>
      </c>
      <c r="Y25" s="51">
        <f t="shared" si="15"/>
        <v>14.817299999999999</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0.9990256480716545</v>
      </c>
    </row>
    <row r="26" spans="1:33" x14ac:dyDescent="0.25">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5">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5">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5">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5">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5">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5">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5">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5">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5">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5">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5">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5">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5">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5">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5">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5">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5">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5">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5">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5">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5">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5">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5">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5">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5">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5">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5">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5">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5">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5">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5">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5">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5">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5">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5">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5">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5">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5">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5">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5">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5">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5">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5">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5">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5">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5">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5">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5">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5">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5">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5">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5">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5">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5">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5">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5">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5">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5">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5">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5">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5">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5">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5">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5">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5">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5">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5">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5">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5">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5">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5">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5">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5">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5">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5">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5">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5">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5">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5">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5">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5">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5">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5">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5">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5">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5">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5">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5">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5">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5">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5">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5">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5">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5">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5">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5">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5">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5">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5">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5">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5">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5">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5">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5">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5">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5">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5">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5">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5">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5">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5">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5">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5">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5">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5">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5">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5">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5">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5">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5">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5">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5">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5">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5">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5">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5">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5">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5">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5">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5">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5">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5">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5">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5">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5">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5">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5">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5">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5">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5">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5">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5">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5">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5">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5">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5">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5">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5">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99060</xdr:colOff>
                <xdr:row>2</xdr:row>
                <xdr:rowOff>30480</xdr:rowOff>
              </from>
              <to>
                <xdr:col>4</xdr:col>
                <xdr:colOff>586740</xdr:colOff>
                <xdr:row>3</xdr:row>
                <xdr:rowOff>137160</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22860</xdr:colOff>
                <xdr:row>2</xdr:row>
                <xdr:rowOff>60960</xdr:rowOff>
              </from>
              <to>
                <xdr:col>12</xdr:col>
                <xdr:colOff>7620</xdr:colOff>
                <xdr:row>4</xdr:row>
                <xdr:rowOff>7620</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M14" sqref="M14:M18"/>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Mon</v>
      </c>
      <c r="B14" s="24">
        <f>Weather_Site!B12</f>
        <v>41281</v>
      </c>
      <c r="C14" s="25">
        <f>Weather_Site!C12</f>
        <v>0.20833333333333334</v>
      </c>
      <c r="D14" s="27">
        <f>Weather_Site!D12</f>
        <v>17.5</v>
      </c>
      <c r="E14" s="27">
        <f>Weather_Site!E12</f>
        <v>93.9</v>
      </c>
      <c r="F14" s="28">
        <f>Weather_Site!F12</f>
        <v>168</v>
      </c>
      <c r="G14" s="27">
        <f>Weather_Site!G12</f>
        <v>5</v>
      </c>
      <c r="H14" s="548">
        <f>C$4</f>
        <v>0</v>
      </c>
      <c r="I14" s="27">
        <f>IF(Weather_Site!M12&lt;180,Weather_Site!M12+180,Weather_Site!M12-180)</f>
        <v>348</v>
      </c>
      <c r="J14" s="635">
        <f>2.76+0.124*E14-0.0187*D14</f>
        <v>14.076350000000001</v>
      </c>
      <c r="K14" s="635">
        <f>3.6+0.169*E14-0.045*D14</f>
        <v>18.6816</v>
      </c>
      <c r="L14" s="635">
        <f>3.08+0.198*E14-0.0483*D14</f>
        <v>20.826950000000004</v>
      </c>
      <c r="M14" s="635">
        <f>IF(AND(OR(MONTH(B14)&gt;10,MONTH(B14)&lt;3),AND(HOUR(C14)&gt;=13,HOUR(C14)&lt;=17)),J14,IF(OR(HOUR(C14)&lt;8,HOUR(C14)&gt;=20),L14,K14))</f>
        <v>20.826950000000004</v>
      </c>
      <c r="N14" s="636">
        <f>M14^-1.495/0.0545</f>
        <v>0.19600092208101649</v>
      </c>
      <c r="O14" s="635">
        <f>EXP(0.069*H14)</f>
        <v>1</v>
      </c>
      <c r="P14" s="637">
        <f>(30+1.531*(IF(G14&lt;5,0,G14-5))^0.858*$D$6^0.93*($D$7*$C$8)^0.637*1.03)*N14*O14</f>
        <v>5.8800276624304946</v>
      </c>
      <c r="Q14" s="637">
        <f t="shared" ref="Q14" si="0">(30+1.531*(IF((0.2*G15+4)&lt;5,0,(0.2*G15+6)-5))^0.858*$D$6^0.93*($D$7*$C$8)^0.637*1.03)*N14</f>
        <v>5.8800276624304946</v>
      </c>
      <c r="R14" s="635">
        <f>0.0193*P14^0.723*EXP(0.64*$C$10)*1.07</f>
        <v>0.12403982514783124</v>
      </c>
      <c r="S14" s="637">
        <f>MAX(50,ABS(176.969*(ATAN($D$6)*(P14/G14^0.25)^0.5)+1568800*($D$6^-1*(P14/G14^0.25)^-1.5)-3015.09))</f>
        <v>64487.475256257589</v>
      </c>
      <c r="T14" s="638">
        <f>18600*P14/3600*F$11/10</f>
        <v>69.874328721882378</v>
      </c>
    </row>
    <row r="15" spans="1:20" x14ac:dyDescent="0.25">
      <c r="A15" s="23" t="str">
        <f>Weather_Site!A13</f>
        <v>Mon</v>
      </c>
      <c r="B15" s="24">
        <f>Weather_Site!B13</f>
        <v>41281</v>
      </c>
      <c r="C15" s="25">
        <f>Weather_Site!C13</f>
        <v>0.25</v>
      </c>
      <c r="D15" s="27">
        <f>Weather_Site!D13</f>
        <v>17.5</v>
      </c>
      <c r="E15" s="27">
        <f>Weather_Site!E13</f>
        <v>94.5</v>
      </c>
      <c r="F15" s="28">
        <f>Weather_Site!F13</f>
        <v>166</v>
      </c>
      <c r="G15" s="27">
        <f>Weather_Site!G13</f>
        <v>3</v>
      </c>
      <c r="H15" s="548">
        <f t="shared" ref="H15:H18" si="1">C$4</f>
        <v>0</v>
      </c>
      <c r="I15" s="27">
        <f>IF(Weather_Site!M13&lt;180,Weather_Site!M13+180,Weather_Site!M13-180)</f>
        <v>346</v>
      </c>
      <c r="J15" s="635">
        <f t="shared" ref="J15:J18" si="2">2.76+0.124*E15-0.0187*D15</f>
        <v>14.15075</v>
      </c>
      <c r="K15" s="635">
        <f t="shared" ref="K15:K18" si="3">3.6+0.169*E15-0.045*D15</f>
        <v>18.783000000000001</v>
      </c>
      <c r="L15" s="635">
        <f t="shared" ref="L15:L18" si="4">3.08+0.198*E15-0.0483*D15</f>
        <v>20.945750000000004</v>
      </c>
      <c r="M15" s="635">
        <f t="shared" ref="M15:M18" si="5">IF(AND(OR(MONTH(B15)&gt;10,MONTH(B15)&lt;3),AND(HOUR(C15)&gt;=13,HOUR(C15)&lt;=17)),J15,IF(OR(HOUR(C15)&lt;8,HOUR(C15)&gt;=20),L15,K15))</f>
        <v>20.945750000000004</v>
      </c>
      <c r="N15" s="636">
        <f t="shared" ref="N15:N18" si="6">M15^-1.495/0.0545</f>
        <v>0.19434130012980161</v>
      </c>
      <c r="O15" s="635">
        <f t="shared" ref="O15:O18" si="7">EXP(0.069*H15)</f>
        <v>1</v>
      </c>
      <c r="P15" s="637">
        <f t="shared" ref="P15:P18" si="8">(30+1.531*(IF(G15&lt;5,0,G15-5))^0.858*$D$6^0.93*($D$7*$C$8)^0.637*1.03)*N15*O15</f>
        <v>5.8302390038940484</v>
      </c>
      <c r="Q15" s="637">
        <f t="shared" ref="Q15:Q18" si="9">(30+1.531*(IF((0.2*G16+4)&lt;5,0,(0.2*G16+6)-5))^0.858*$D$6^0.93*($D$7*$C$8)^0.637*1.03)*N15</f>
        <v>5.8302390038940484</v>
      </c>
      <c r="R15" s="635">
        <f t="shared" ref="R15:R18" si="10">0.0193*P15^0.723*EXP(0.64*$C$10)*1.07</f>
        <v>0.12327956652236645</v>
      </c>
      <c r="S15" s="637">
        <f t="shared" ref="S15:S18" si="11">MAX(50,ABS(176.969*(ATAN($D$6)*(P15/G15^0.25)^0.5)+1568800*($D$6^-1*(P15/G15^0.25)^-1.5)-3015.09))</f>
        <v>53533.929264287784</v>
      </c>
      <c r="T15" s="638">
        <f t="shared" ref="T15:T18" si="12">18600*P15/3600*F$11/10</f>
        <v>69.282673496274271</v>
      </c>
    </row>
    <row r="16" spans="1:20" x14ac:dyDescent="0.25">
      <c r="A16" s="23" t="str">
        <f>Weather_Site!A14</f>
        <v>Mon</v>
      </c>
      <c r="B16" s="24">
        <f>Weather_Site!B14</f>
        <v>41281</v>
      </c>
      <c r="C16" s="25">
        <f>Weather_Site!C14</f>
        <v>0.29166666666666669</v>
      </c>
      <c r="D16" s="27">
        <f>Weather_Site!D14</f>
        <v>17.7</v>
      </c>
      <c r="E16" s="27">
        <f>Weather_Site!E14</f>
        <v>92.7</v>
      </c>
      <c r="F16" s="28">
        <f>Weather_Site!F14</f>
        <v>162</v>
      </c>
      <c r="G16" s="27">
        <f>Weather_Site!G14</f>
        <v>2</v>
      </c>
      <c r="H16" s="548">
        <f t="shared" si="1"/>
        <v>0</v>
      </c>
      <c r="I16" s="27">
        <f>IF(Weather_Site!M14&lt;180,Weather_Site!M14+180,Weather_Site!M14-180)</f>
        <v>342</v>
      </c>
      <c r="J16" s="635">
        <f t="shared" si="2"/>
        <v>13.92381</v>
      </c>
      <c r="K16" s="635">
        <f t="shared" si="3"/>
        <v>18.469799999999999</v>
      </c>
      <c r="L16" s="635">
        <f t="shared" si="4"/>
        <v>20.579690000000003</v>
      </c>
      <c r="M16" s="635">
        <f t="shared" si="5"/>
        <v>20.579690000000003</v>
      </c>
      <c r="N16" s="636">
        <f t="shared" si="6"/>
        <v>0.19953195100984095</v>
      </c>
      <c r="O16" s="635">
        <f t="shared" si="7"/>
        <v>1</v>
      </c>
      <c r="P16" s="637">
        <f t="shared" si="8"/>
        <v>5.9859585302952283</v>
      </c>
      <c r="Q16" s="637">
        <f t="shared" si="9"/>
        <v>5.9859585302952283</v>
      </c>
      <c r="R16" s="635">
        <f t="shared" si="10"/>
        <v>0.12565145712241574</v>
      </c>
      <c r="S16" s="637">
        <f t="shared" si="11"/>
        <v>43786.272674124746</v>
      </c>
      <c r="T16" s="638">
        <f t="shared" si="12"/>
        <v>71.133140535008295</v>
      </c>
    </row>
    <row r="17" spans="1:20" x14ac:dyDescent="0.25">
      <c r="A17" s="23" t="str">
        <f>Weather_Site!A15</f>
        <v>Mon</v>
      </c>
      <c r="B17" s="24">
        <f>Weather_Site!B15</f>
        <v>41281</v>
      </c>
      <c r="C17" s="25">
        <f>Weather_Site!C15</f>
        <v>0.33333333333333331</v>
      </c>
      <c r="D17" s="27">
        <f>Weather_Site!D15</f>
        <v>18.399999999999999</v>
      </c>
      <c r="E17" s="27">
        <f>Weather_Site!E15</f>
        <v>87</v>
      </c>
      <c r="F17" s="28">
        <f>Weather_Site!F15</f>
        <v>160</v>
      </c>
      <c r="G17" s="27">
        <f>Weather_Site!G15</f>
        <v>2</v>
      </c>
      <c r="H17" s="548">
        <f t="shared" si="1"/>
        <v>0</v>
      </c>
      <c r="I17" s="27">
        <f>IF(Weather_Site!M15&lt;180,Weather_Site!M15+180,Weather_Site!M15-180)</f>
        <v>340</v>
      </c>
      <c r="J17" s="635">
        <f t="shared" si="2"/>
        <v>13.20392</v>
      </c>
      <c r="K17" s="635">
        <f t="shared" si="3"/>
        <v>17.475000000000001</v>
      </c>
      <c r="L17" s="635">
        <f t="shared" si="4"/>
        <v>19.417279999999998</v>
      </c>
      <c r="M17" s="635">
        <f t="shared" si="5"/>
        <v>17.475000000000001</v>
      </c>
      <c r="N17" s="636">
        <f t="shared" si="6"/>
        <v>0.2547943579898479</v>
      </c>
      <c r="O17" s="635">
        <f t="shared" si="7"/>
        <v>1</v>
      </c>
      <c r="P17" s="637">
        <f t="shared" si="8"/>
        <v>7.6438307396954368</v>
      </c>
      <c r="Q17" s="637">
        <f t="shared" si="9"/>
        <v>7.6438307396954368</v>
      </c>
      <c r="R17" s="635">
        <f t="shared" si="10"/>
        <v>0.1499456112930137</v>
      </c>
      <c r="S17" s="637">
        <f t="shared" si="11"/>
        <v>29635.039419981018</v>
      </c>
      <c r="T17" s="638">
        <f t="shared" si="12"/>
        <v>90.834188623380768</v>
      </c>
    </row>
    <row r="18" spans="1:20" x14ac:dyDescent="0.25">
      <c r="A18" s="23" t="str">
        <f>Weather_Site!A16</f>
        <v>Mon</v>
      </c>
      <c r="B18" s="24">
        <f>Weather_Site!B16</f>
        <v>41281</v>
      </c>
      <c r="C18" s="25">
        <f>Weather_Site!C16</f>
        <v>0.375</v>
      </c>
      <c r="D18" s="27">
        <f>Weather_Site!D16</f>
        <v>19.8</v>
      </c>
      <c r="E18" s="27">
        <f>Weather_Site!E16</f>
        <v>78.3</v>
      </c>
      <c r="F18" s="28">
        <f>Weather_Site!F16</f>
        <v>123</v>
      </c>
      <c r="G18" s="27">
        <f>Weather_Site!G16</f>
        <v>4</v>
      </c>
      <c r="H18" s="548">
        <f t="shared" si="1"/>
        <v>0</v>
      </c>
      <c r="I18" s="27">
        <f>IF(Weather_Site!M16&lt;180,Weather_Site!M16+180,Weather_Site!M16-180)</f>
        <v>303</v>
      </c>
      <c r="J18" s="635">
        <f t="shared" si="2"/>
        <v>12.098939999999999</v>
      </c>
      <c r="K18" s="635">
        <f t="shared" si="3"/>
        <v>15.941700000000003</v>
      </c>
      <c r="L18" s="635">
        <f t="shared" si="4"/>
        <v>17.62706</v>
      </c>
      <c r="M18" s="635">
        <f t="shared" si="5"/>
        <v>15.941700000000003</v>
      </c>
      <c r="N18" s="636">
        <f t="shared" si="6"/>
        <v>0.29229017869412649</v>
      </c>
      <c r="O18" s="635">
        <f t="shared" si="7"/>
        <v>1</v>
      </c>
      <c r="P18" s="637">
        <f t="shared" si="8"/>
        <v>8.7687053608237946</v>
      </c>
      <c r="Q18" s="637">
        <f t="shared" si="9"/>
        <v>8.7687053608237946</v>
      </c>
      <c r="R18" s="635">
        <f t="shared" si="10"/>
        <v>0.16559309054041207</v>
      </c>
      <c r="S18" s="637">
        <f t="shared" si="11"/>
        <v>31405.351293660515</v>
      </c>
      <c r="T18" s="638">
        <f t="shared" si="12"/>
        <v>104.20144870445611</v>
      </c>
    </row>
    <row r="19" spans="1:20" x14ac:dyDescent="0.25">
      <c r="A19" s="45"/>
      <c r="B19" s="46"/>
      <c r="C19" s="47"/>
      <c r="D19" s="48"/>
      <c r="E19" s="48"/>
      <c r="F19" s="49"/>
      <c r="G19" s="48"/>
      <c r="H19" s="548"/>
      <c r="I19" s="48"/>
      <c r="J19" s="639"/>
      <c r="K19" s="639"/>
      <c r="L19" s="639"/>
      <c r="M19" s="639"/>
      <c r="N19" s="640"/>
      <c r="O19" s="639"/>
      <c r="P19" s="641"/>
      <c r="Q19" s="641"/>
      <c r="R19" s="749"/>
      <c r="S19" s="641"/>
      <c r="T19" s="642"/>
    </row>
    <row r="20" spans="1:20" x14ac:dyDescent="0.25">
      <c r="A20" s="45"/>
      <c r="B20" s="46"/>
      <c r="C20" s="47"/>
      <c r="D20" s="48"/>
      <c r="E20" s="48"/>
      <c r="F20" s="49"/>
      <c r="G20" s="48"/>
      <c r="H20" s="548"/>
      <c r="I20" s="48"/>
      <c r="J20" s="639"/>
      <c r="K20" s="639"/>
      <c r="L20" s="639"/>
      <c r="M20" s="639"/>
      <c r="N20" s="640"/>
      <c r="O20" s="639"/>
      <c r="P20" s="641"/>
      <c r="Q20" s="641"/>
      <c r="R20" s="639"/>
      <c r="S20" s="641"/>
      <c r="T20" s="642"/>
    </row>
    <row r="21" spans="1:20" x14ac:dyDescent="0.25">
      <c r="A21" s="45"/>
      <c r="B21" s="46"/>
      <c r="C21" s="47"/>
      <c r="D21" s="48"/>
      <c r="E21" s="48"/>
      <c r="F21" s="49"/>
      <c r="G21" s="48"/>
      <c r="H21" s="548"/>
      <c r="I21" s="48"/>
      <c r="J21" s="639"/>
      <c r="K21" s="639"/>
      <c r="L21" s="639"/>
      <c r="M21" s="639"/>
      <c r="N21" s="640"/>
      <c r="O21" s="639"/>
      <c r="P21" s="641"/>
      <c r="Q21" s="641"/>
      <c r="R21" s="639"/>
      <c r="S21" s="641"/>
      <c r="T21" s="643"/>
    </row>
    <row r="22" spans="1:20" x14ac:dyDescent="0.25">
      <c r="A22" s="45"/>
      <c r="B22" s="46"/>
      <c r="C22" s="47"/>
      <c r="D22" s="48"/>
      <c r="E22" s="48"/>
      <c r="F22" s="49"/>
      <c r="G22" s="48"/>
      <c r="H22" s="548"/>
      <c r="I22" s="48"/>
      <c r="J22" s="639"/>
      <c r="K22" s="639"/>
      <c r="L22" s="639"/>
      <c r="M22" s="639"/>
      <c r="N22" s="640"/>
      <c r="O22" s="639"/>
      <c r="P22" s="641"/>
      <c r="Q22" s="641"/>
      <c r="R22" s="639"/>
      <c r="S22" s="641"/>
      <c r="T22" s="643"/>
    </row>
    <row r="23" spans="1:20" x14ac:dyDescent="0.25">
      <c r="A23" s="45"/>
      <c r="B23" s="46"/>
      <c r="C23" s="47"/>
      <c r="D23" s="48"/>
      <c r="E23" s="48"/>
      <c r="F23" s="49"/>
      <c r="G23" s="48"/>
      <c r="H23" s="548"/>
      <c r="I23" s="48"/>
      <c r="J23" s="639"/>
      <c r="K23" s="639"/>
      <c r="L23" s="639"/>
      <c r="M23" s="639"/>
      <c r="N23" s="640"/>
      <c r="O23" s="639"/>
      <c r="P23" s="641"/>
      <c r="Q23" s="641"/>
      <c r="R23" s="639"/>
      <c r="S23" s="641"/>
      <c r="T23" s="643"/>
    </row>
    <row r="24" spans="1:20" x14ac:dyDescent="0.25">
      <c r="A24" s="23"/>
      <c r="B24" s="24"/>
      <c r="C24" s="25"/>
      <c r="D24" s="27"/>
      <c r="E24" s="27"/>
      <c r="F24" s="28"/>
      <c r="G24" s="27"/>
      <c r="H24" s="548"/>
      <c r="I24" s="27"/>
      <c r="J24" s="635"/>
      <c r="K24" s="635"/>
      <c r="L24" s="635"/>
      <c r="M24" s="635"/>
      <c r="N24" s="636"/>
      <c r="O24" s="635"/>
      <c r="P24" s="637"/>
      <c r="Q24" s="637"/>
      <c r="R24" s="635"/>
      <c r="S24" s="637"/>
      <c r="T24" s="644"/>
    </row>
    <row r="25" spans="1:20" x14ac:dyDescent="0.25">
      <c r="A25" s="23"/>
      <c r="B25" s="24"/>
      <c r="C25" s="25"/>
      <c r="D25" s="27"/>
      <c r="E25" s="27"/>
      <c r="F25" s="28"/>
      <c r="G25" s="27"/>
      <c r="H25" s="548"/>
      <c r="I25" s="27"/>
      <c r="J25" s="635"/>
      <c r="K25" s="635"/>
      <c r="L25" s="635"/>
      <c r="M25" s="635"/>
      <c r="N25" s="636"/>
      <c r="O25" s="635"/>
      <c r="P25" s="637"/>
      <c r="Q25" s="637"/>
      <c r="R25" s="635"/>
      <c r="S25" s="637"/>
      <c r="T25" s="644"/>
    </row>
    <row r="26" spans="1:20" x14ac:dyDescent="0.25">
      <c r="A26" s="23"/>
      <c r="B26" s="24"/>
      <c r="C26" s="25"/>
      <c r="D26" s="27"/>
      <c r="E26" s="27"/>
      <c r="F26" s="28"/>
      <c r="G26" s="27"/>
      <c r="H26" s="548"/>
      <c r="I26" s="27"/>
      <c r="J26" s="635"/>
      <c r="K26" s="635"/>
      <c r="L26" s="635"/>
      <c r="M26" s="635"/>
      <c r="N26" s="636"/>
      <c r="O26" s="635"/>
      <c r="P26" s="637"/>
      <c r="Q26" s="637"/>
      <c r="R26" s="635"/>
      <c r="S26" s="637"/>
      <c r="T26" s="644"/>
    </row>
    <row r="27" spans="1:20" x14ac:dyDescent="0.25">
      <c r="A27" s="23"/>
      <c r="B27" s="24"/>
      <c r="C27" s="25"/>
      <c r="D27" s="27"/>
      <c r="E27" s="27"/>
      <c r="F27" s="28"/>
      <c r="G27" s="27"/>
      <c r="H27" s="548"/>
      <c r="I27" s="27"/>
      <c r="J27" s="635"/>
      <c r="K27" s="635"/>
      <c r="L27" s="635"/>
      <c r="M27" s="635"/>
      <c r="N27" s="636"/>
      <c r="O27" s="635"/>
      <c r="P27" s="637"/>
      <c r="Q27" s="637"/>
      <c r="R27" s="635"/>
      <c r="S27" s="637"/>
      <c r="T27" s="644"/>
    </row>
    <row r="28" spans="1:20" x14ac:dyDescent="0.25">
      <c r="A28" s="23"/>
      <c r="B28" s="24"/>
      <c r="C28" s="25"/>
      <c r="D28" s="27"/>
      <c r="E28" s="27"/>
      <c r="F28" s="28"/>
      <c r="G28" s="27"/>
      <c r="H28" s="548"/>
      <c r="I28" s="27"/>
      <c r="J28" s="635"/>
      <c r="K28" s="635"/>
      <c r="L28" s="635"/>
      <c r="M28" s="635"/>
      <c r="N28" s="636"/>
      <c r="O28" s="635"/>
      <c r="P28" s="637"/>
      <c r="Q28" s="637"/>
      <c r="R28" s="635"/>
      <c r="S28" s="637"/>
      <c r="T28" s="644"/>
    </row>
    <row r="29" spans="1:20" x14ac:dyDescent="0.25">
      <c r="A29" s="45"/>
      <c r="B29" s="46"/>
      <c r="C29" s="47"/>
      <c r="D29" s="48"/>
      <c r="E29" s="48"/>
      <c r="F29" s="49"/>
      <c r="G29" s="48"/>
      <c r="H29" s="548"/>
      <c r="I29" s="48"/>
      <c r="J29" s="639"/>
      <c r="K29" s="639"/>
      <c r="L29" s="639"/>
      <c r="M29" s="639"/>
      <c r="N29" s="640"/>
      <c r="O29" s="639"/>
      <c r="P29" s="641"/>
      <c r="Q29" s="641"/>
      <c r="R29" s="639"/>
      <c r="S29" s="641"/>
      <c r="T29" s="643"/>
    </row>
    <row r="30" spans="1:20" x14ac:dyDescent="0.25">
      <c r="A30" s="45"/>
      <c r="B30" s="46"/>
      <c r="C30" s="47"/>
      <c r="D30" s="48"/>
      <c r="E30" s="48"/>
      <c r="F30" s="49"/>
      <c r="G30" s="48"/>
      <c r="H30" s="548"/>
      <c r="I30" s="48"/>
      <c r="J30" s="639"/>
      <c r="K30" s="639"/>
      <c r="L30" s="639"/>
      <c r="M30" s="639"/>
      <c r="N30" s="640"/>
      <c r="O30" s="639"/>
      <c r="P30" s="641"/>
      <c r="Q30" s="641"/>
      <c r="R30" s="639"/>
      <c r="S30" s="641"/>
      <c r="T30" s="643"/>
    </row>
    <row r="31" spans="1:20" x14ac:dyDescent="0.25">
      <c r="A31" s="45"/>
      <c r="B31" s="46"/>
      <c r="C31" s="47"/>
      <c r="D31" s="48"/>
      <c r="E31" s="48"/>
      <c r="F31" s="49"/>
      <c r="G31" s="48"/>
      <c r="H31" s="548"/>
      <c r="I31" s="48"/>
      <c r="J31" s="639"/>
      <c r="K31" s="639"/>
      <c r="L31" s="639"/>
      <c r="M31" s="639"/>
      <c r="N31" s="640"/>
      <c r="O31" s="639"/>
      <c r="P31" s="641"/>
      <c r="Q31" s="641"/>
      <c r="R31" s="639"/>
      <c r="S31" s="641"/>
      <c r="T31" s="643"/>
    </row>
    <row r="32" spans="1:20" x14ac:dyDescent="0.25">
      <c r="A32" s="45"/>
      <c r="B32" s="46"/>
      <c r="C32" s="47"/>
      <c r="D32" s="48"/>
      <c r="E32" s="48"/>
      <c r="F32" s="49"/>
      <c r="G32" s="48"/>
      <c r="H32" s="548"/>
      <c r="I32" s="48"/>
      <c r="J32" s="639"/>
      <c r="K32" s="639"/>
      <c r="L32" s="639"/>
      <c r="M32" s="639"/>
      <c r="N32" s="640"/>
      <c r="O32" s="639"/>
      <c r="P32" s="641"/>
      <c r="Q32" s="641"/>
      <c r="R32" s="639"/>
      <c r="S32" s="641"/>
      <c r="T32" s="643"/>
    </row>
    <row r="33" spans="1:20" x14ac:dyDescent="0.25">
      <c r="A33" s="45"/>
      <c r="B33" s="46"/>
      <c r="C33" s="47"/>
      <c r="D33" s="48"/>
      <c r="E33" s="48"/>
      <c r="F33" s="49"/>
      <c r="G33" s="48"/>
      <c r="H33" s="548"/>
      <c r="I33" s="48"/>
      <c r="J33" s="639"/>
      <c r="K33" s="639"/>
      <c r="L33" s="639"/>
      <c r="M33" s="639"/>
      <c r="N33" s="640"/>
      <c r="O33" s="639"/>
      <c r="P33" s="641"/>
      <c r="Q33" s="641"/>
      <c r="R33" s="639"/>
      <c r="S33" s="641"/>
      <c r="T33" s="643"/>
    </row>
    <row r="34" spans="1:20" x14ac:dyDescent="0.25">
      <c r="A34" s="23"/>
      <c r="B34" s="24"/>
      <c r="C34" s="25"/>
      <c r="D34" s="27"/>
      <c r="E34" s="27"/>
      <c r="F34" s="28"/>
      <c r="G34" s="27"/>
      <c r="H34" s="548"/>
      <c r="I34" s="27"/>
      <c r="J34" s="635"/>
      <c r="K34" s="635"/>
      <c r="L34" s="635"/>
      <c r="M34" s="635"/>
      <c r="N34" s="636"/>
      <c r="O34" s="635"/>
      <c r="P34" s="637"/>
      <c r="Q34" s="637"/>
      <c r="R34" s="635"/>
      <c r="S34" s="637"/>
      <c r="T34" s="644"/>
    </row>
    <row r="35" spans="1:20" x14ac:dyDescent="0.25">
      <c r="A35" s="23"/>
      <c r="B35" s="24"/>
      <c r="C35" s="25"/>
      <c r="D35" s="27"/>
      <c r="E35" s="27"/>
      <c r="F35" s="28"/>
      <c r="G35" s="27"/>
      <c r="H35" s="548"/>
      <c r="I35" s="27"/>
      <c r="J35" s="635"/>
      <c r="K35" s="635"/>
      <c r="L35" s="635"/>
      <c r="M35" s="635"/>
      <c r="N35" s="636"/>
      <c r="O35" s="635"/>
      <c r="P35" s="637"/>
      <c r="Q35" s="637"/>
      <c r="R35" s="635"/>
      <c r="S35" s="637"/>
      <c r="T35" s="644"/>
    </row>
    <row r="36" spans="1:20" x14ac:dyDescent="0.25">
      <c r="A36" s="23"/>
      <c r="B36" s="24"/>
      <c r="C36" s="25"/>
      <c r="D36" s="27"/>
      <c r="E36" s="27"/>
      <c r="F36" s="28"/>
      <c r="G36" s="27"/>
      <c r="H36" s="548"/>
      <c r="I36" s="27"/>
      <c r="J36" s="635"/>
      <c r="K36" s="635"/>
      <c r="L36" s="635"/>
      <c r="M36" s="635"/>
      <c r="N36" s="636"/>
      <c r="O36" s="635"/>
      <c r="P36" s="637"/>
      <c r="Q36" s="637"/>
      <c r="R36" s="635"/>
      <c r="S36" s="637"/>
      <c r="T36" s="644"/>
    </row>
    <row r="37" spans="1:20" x14ac:dyDescent="0.25">
      <c r="A37" s="23"/>
      <c r="B37" s="24"/>
      <c r="C37" s="25"/>
      <c r="D37" s="27"/>
      <c r="E37" s="27"/>
      <c r="F37" s="28"/>
      <c r="G37" s="27"/>
      <c r="H37" s="548"/>
      <c r="I37" s="27"/>
      <c r="J37" s="635"/>
      <c r="K37" s="635"/>
      <c r="L37" s="635"/>
      <c r="M37" s="635"/>
      <c r="N37" s="636"/>
      <c r="O37" s="635"/>
      <c r="P37" s="637"/>
      <c r="Q37" s="637"/>
      <c r="R37" s="635"/>
      <c r="S37" s="637"/>
      <c r="T37" s="644"/>
    </row>
    <row r="38" spans="1:20" x14ac:dyDescent="0.25">
      <c r="A38" s="23"/>
      <c r="B38" s="24"/>
      <c r="C38" s="25"/>
      <c r="D38" s="27"/>
      <c r="E38" s="27"/>
      <c r="F38" s="28"/>
      <c r="G38" s="27"/>
      <c r="H38" s="548"/>
      <c r="I38" s="27"/>
      <c r="J38" s="635"/>
      <c r="K38" s="635"/>
      <c r="L38" s="635"/>
      <c r="M38" s="635"/>
      <c r="N38" s="636"/>
      <c r="O38" s="635"/>
      <c r="P38" s="637"/>
      <c r="Q38" s="637"/>
      <c r="R38" s="635"/>
      <c r="S38" s="637"/>
      <c r="T38" s="644"/>
    </row>
    <row r="39" spans="1:20" x14ac:dyDescent="0.25">
      <c r="A39" s="45"/>
      <c r="B39" s="46"/>
      <c r="C39" s="47"/>
      <c r="D39" s="48"/>
      <c r="E39" s="48"/>
      <c r="F39" s="49"/>
      <c r="G39" s="48"/>
      <c r="H39" s="548"/>
      <c r="I39" s="48"/>
      <c r="J39" s="639"/>
      <c r="K39" s="639"/>
      <c r="L39" s="639"/>
      <c r="M39" s="639"/>
      <c r="N39" s="640"/>
      <c r="O39" s="639"/>
      <c r="P39" s="641"/>
      <c r="Q39" s="641"/>
      <c r="R39" s="639"/>
      <c r="S39" s="641"/>
      <c r="T39" s="643"/>
    </row>
    <row r="40" spans="1:20" x14ac:dyDescent="0.25">
      <c r="A40" s="45"/>
      <c r="B40" s="46"/>
      <c r="C40" s="47"/>
      <c r="D40" s="48"/>
      <c r="E40" s="48"/>
      <c r="F40" s="49"/>
      <c r="G40" s="48"/>
      <c r="H40" s="548"/>
      <c r="I40" s="48"/>
      <c r="J40" s="639"/>
      <c r="K40" s="639"/>
      <c r="L40" s="639"/>
      <c r="M40" s="639"/>
      <c r="N40" s="640"/>
      <c r="O40" s="639"/>
      <c r="P40" s="641"/>
      <c r="Q40" s="641"/>
      <c r="R40" s="639"/>
      <c r="S40" s="641"/>
      <c r="T40" s="643"/>
    </row>
    <row r="41" spans="1:20" x14ac:dyDescent="0.25">
      <c r="A41" s="45"/>
      <c r="B41" s="46"/>
      <c r="C41" s="47"/>
      <c r="D41" s="48"/>
      <c r="E41" s="48"/>
      <c r="F41" s="49"/>
      <c r="G41" s="48"/>
      <c r="H41" s="548"/>
      <c r="I41" s="48"/>
      <c r="J41" s="639"/>
      <c r="K41" s="639"/>
      <c r="L41" s="639"/>
      <c r="M41" s="639"/>
      <c r="N41" s="640"/>
      <c r="O41" s="639"/>
      <c r="P41" s="641"/>
      <c r="Q41" s="641"/>
      <c r="R41" s="639"/>
      <c r="S41" s="641"/>
      <c r="T41" s="643"/>
    </row>
    <row r="42" spans="1:20" x14ac:dyDescent="0.25">
      <c r="A42" s="45"/>
      <c r="B42" s="46"/>
      <c r="C42" s="47"/>
      <c r="D42" s="48"/>
      <c r="E42" s="48"/>
      <c r="F42" s="49"/>
      <c r="G42" s="48"/>
      <c r="H42" s="548"/>
      <c r="I42" s="48"/>
      <c r="J42" s="639"/>
      <c r="K42" s="639"/>
      <c r="L42" s="639"/>
      <c r="M42" s="639"/>
      <c r="N42" s="640"/>
      <c r="O42" s="639"/>
      <c r="P42" s="641"/>
      <c r="Q42" s="641"/>
      <c r="R42" s="639"/>
      <c r="S42" s="641"/>
      <c r="T42" s="643"/>
    </row>
    <row r="43" spans="1:20" x14ac:dyDescent="0.25">
      <c r="A43" s="45"/>
      <c r="B43" s="46"/>
      <c r="C43" s="47"/>
      <c r="D43" s="48"/>
      <c r="E43" s="48"/>
      <c r="F43" s="49"/>
      <c r="G43" s="48"/>
      <c r="H43" s="548"/>
      <c r="I43" s="48"/>
      <c r="J43" s="639"/>
      <c r="K43" s="639"/>
      <c r="L43" s="639"/>
      <c r="M43" s="639"/>
      <c r="N43" s="640"/>
      <c r="O43" s="639"/>
      <c r="P43" s="641"/>
      <c r="Q43" s="641"/>
      <c r="R43" s="639"/>
      <c r="S43" s="641"/>
      <c r="T43" s="643"/>
    </row>
    <row r="44" spans="1:20" x14ac:dyDescent="0.25">
      <c r="A44" s="23"/>
      <c r="B44" s="24"/>
      <c r="C44" s="25"/>
      <c r="D44" s="27"/>
      <c r="E44" s="27"/>
      <c r="F44" s="28"/>
      <c r="G44" s="27"/>
      <c r="H44" s="548"/>
      <c r="I44" s="27"/>
      <c r="J44" s="635"/>
      <c r="K44" s="635"/>
      <c r="L44" s="635"/>
      <c r="M44" s="635"/>
      <c r="N44" s="636"/>
      <c r="O44" s="635"/>
      <c r="P44" s="637"/>
      <c r="Q44" s="637"/>
      <c r="R44" s="635"/>
      <c r="S44" s="637"/>
      <c r="T44" s="644"/>
    </row>
    <row r="45" spans="1:20" x14ac:dyDescent="0.25">
      <c r="A45" s="23"/>
      <c r="B45" s="24"/>
      <c r="C45" s="25"/>
      <c r="D45" s="27"/>
      <c r="E45" s="27"/>
      <c r="F45" s="28"/>
      <c r="G45" s="27"/>
      <c r="H45" s="548"/>
      <c r="I45" s="27"/>
      <c r="J45" s="635"/>
      <c r="K45" s="635"/>
      <c r="L45" s="635"/>
      <c r="M45" s="635"/>
      <c r="N45" s="636"/>
      <c r="O45" s="635"/>
      <c r="P45" s="637"/>
      <c r="Q45" s="637"/>
      <c r="R45" s="635"/>
      <c r="S45" s="637"/>
      <c r="T45" s="644"/>
    </row>
    <row r="46" spans="1:20" x14ac:dyDescent="0.25">
      <c r="A46" s="23"/>
      <c r="B46" s="24"/>
      <c r="C46" s="25"/>
      <c r="D46" s="27"/>
      <c r="E46" s="27"/>
      <c r="F46" s="28"/>
      <c r="G46" s="27"/>
      <c r="H46" s="548"/>
      <c r="I46" s="27"/>
      <c r="J46" s="635"/>
      <c r="K46" s="635"/>
      <c r="L46" s="635"/>
      <c r="M46" s="635"/>
      <c r="N46" s="636"/>
      <c r="O46" s="635"/>
      <c r="P46" s="637"/>
      <c r="Q46" s="637"/>
      <c r="R46" s="635"/>
      <c r="S46" s="637"/>
      <c r="T46" s="644"/>
    </row>
    <row r="47" spans="1:20" x14ac:dyDescent="0.25">
      <c r="A47" s="23"/>
      <c r="B47" s="24"/>
      <c r="C47" s="25"/>
      <c r="D47" s="27"/>
      <c r="E47" s="27"/>
      <c r="F47" s="28"/>
      <c r="G47" s="27"/>
      <c r="H47" s="548"/>
      <c r="I47" s="27"/>
      <c r="J47" s="635"/>
      <c r="K47" s="635"/>
      <c r="L47" s="635"/>
      <c r="M47" s="635"/>
      <c r="N47" s="636"/>
      <c r="O47" s="635"/>
      <c r="P47" s="637"/>
      <c r="Q47" s="637"/>
      <c r="R47" s="635"/>
      <c r="S47" s="637"/>
      <c r="T47" s="644"/>
    </row>
    <row r="48" spans="1:20" x14ac:dyDescent="0.25">
      <c r="A48" s="23"/>
      <c r="B48" s="24"/>
      <c r="C48" s="25"/>
      <c r="D48" s="27"/>
      <c r="E48" s="27"/>
      <c r="F48" s="28"/>
      <c r="G48" s="27"/>
      <c r="H48" s="548"/>
      <c r="I48" s="27"/>
      <c r="J48" s="635"/>
      <c r="K48" s="635"/>
      <c r="L48" s="635"/>
      <c r="M48" s="635"/>
      <c r="N48" s="636"/>
      <c r="O48" s="635"/>
      <c r="P48" s="637"/>
      <c r="Q48" s="637"/>
      <c r="R48" s="635"/>
      <c r="S48" s="637"/>
      <c r="T48" s="644"/>
    </row>
    <row r="49" spans="1:20" x14ac:dyDescent="0.25">
      <c r="A49" s="45"/>
      <c r="B49" s="46"/>
      <c r="C49" s="47"/>
      <c r="D49" s="48"/>
      <c r="E49" s="48"/>
      <c r="F49" s="49"/>
      <c r="G49" s="48"/>
      <c r="H49" s="548"/>
      <c r="I49" s="48"/>
      <c r="J49" s="639"/>
      <c r="K49" s="639"/>
      <c r="L49" s="639"/>
      <c r="M49" s="639"/>
      <c r="N49" s="640"/>
      <c r="O49" s="639"/>
      <c r="P49" s="641"/>
      <c r="Q49" s="641"/>
      <c r="R49" s="639"/>
      <c r="S49" s="641"/>
      <c r="T49" s="643"/>
    </row>
    <row r="50" spans="1:20" x14ac:dyDescent="0.25">
      <c r="A50" s="45"/>
      <c r="B50" s="46"/>
      <c r="C50" s="47"/>
      <c r="D50" s="48"/>
      <c r="E50" s="48"/>
      <c r="F50" s="49"/>
      <c r="G50" s="48"/>
      <c r="H50" s="548"/>
      <c r="I50" s="48"/>
      <c r="J50" s="639"/>
      <c r="K50" s="639"/>
      <c r="L50" s="639"/>
      <c r="M50" s="639"/>
      <c r="N50" s="640"/>
      <c r="O50" s="639"/>
      <c r="P50" s="641"/>
      <c r="Q50" s="641"/>
      <c r="R50" s="639"/>
      <c r="S50" s="641"/>
      <c r="T50" s="643"/>
    </row>
    <row r="51" spans="1:20" x14ac:dyDescent="0.25">
      <c r="A51" s="45"/>
      <c r="B51" s="46"/>
      <c r="C51" s="47"/>
      <c r="D51" s="48"/>
      <c r="E51" s="48"/>
      <c r="F51" s="49"/>
      <c r="G51" s="48"/>
      <c r="H51" s="548"/>
      <c r="I51" s="48"/>
      <c r="J51" s="639"/>
      <c r="K51" s="639"/>
      <c r="L51" s="639"/>
      <c r="M51" s="639"/>
      <c r="N51" s="640"/>
      <c r="O51" s="639"/>
      <c r="P51" s="641"/>
      <c r="Q51" s="641"/>
      <c r="R51" s="639"/>
      <c r="S51" s="641"/>
      <c r="T51" s="643"/>
    </row>
    <row r="52" spans="1:20" x14ac:dyDescent="0.25">
      <c r="A52" s="45"/>
      <c r="B52" s="46"/>
      <c r="C52" s="47"/>
      <c r="D52" s="48"/>
      <c r="E52" s="48"/>
      <c r="F52" s="49"/>
      <c r="G52" s="48"/>
      <c r="H52" s="548"/>
      <c r="I52" s="48"/>
      <c r="J52" s="639"/>
      <c r="K52" s="639"/>
      <c r="L52" s="639"/>
      <c r="M52" s="639"/>
      <c r="N52" s="640"/>
      <c r="O52" s="639"/>
      <c r="P52" s="641"/>
      <c r="Q52" s="641"/>
      <c r="R52" s="639"/>
      <c r="S52" s="641"/>
      <c r="T52" s="643"/>
    </row>
    <row r="53" spans="1:20" x14ac:dyDescent="0.25">
      <c r="A53" s="45"/>
      <c r="B53" s="46"/>
      <c r="C53" s="47"/>
      <c r="D53" s="48"/>
      <c r="E53" s="48"/>
      <c r="F53" s="49"/>
      <c r="G53" s="48"/>
      <c r="H53" s="548"/>
      <c r="I53" s="48"/>
      <c r="J53" s="639"/>
      <c r="K53" s="639"/>
      <c r="L53" s="639"/>
      <c r="M53" s="639"/>
      <c r="N53" s="640"/>
      <c r="O53" s="639"/>
      <c r="P53" s="641"/>
      <c r="Q53" s="641"/>
      <c r="R53" s="639"/>
      <c r="S53" s="641"/>
      <c r="T53" s="643"/>
    </row>
    <row r="54" spans="1:20" x14ac:dyDescent="0.25">
      <c r="A54" s="23"/>
      <c r="B54" s="24"/>
      <c r="C54" s="25"/>
      <c r="D54" s="27"/>
      <c r="E54" s="27"/>
      <c r="F54" s="28"/>
      <c r="G54" s="27"/>
      <c r="H54" s="548"/>
      <c r="I54" s="27"/>
      <c r="J54" s="635"/>
      <c r="K54" s="635"/>
      <c r="L54" s="635"/>
      <c r="M54" s="635"/>
      <c r="N54" s="636"/>
      <c r="O54" s="635"/>
      <c r="P54" s="637"/>
      <c r="Q54" s="637"/>
      <c r="R54" s="635"/>
      <c r="S54" s="637"/>
      <c r="T54" s="644"/>
    </row>
    <row r="55" spans="1:20" x14ac:dyDescent="0.25">
      <c r="A55" s="23"/>
      <c r="B55" s="24"/>
      <c r="C55" s="25"/>
      <c r="D55" s="27"/>
      <c r="E55" s="27"/>
      <c r="F55" s="28"/>
      <c r="G55" s="27"/>
      <c r="H55" s="548"/>
      <c r="I55" s="27"/>
      <c r="J55" s="635"/>
      <c r="K55" s="635"/>
      <c r="L55" s="635"/>
      <c r="M55" s="635"/>
      <c r="N55" s="636"/>
      <c r="O55" s="635"/>
      <c r="P55" s="637"/>
      <c r="Q55" s="637"/>
      <c r="R55" s="635"/>
      <c r="S55" s="637"/>
      <c r="T55" s="644"/>
    </row>
    <row r="56" spans="1:20" x14ac:dyDescent="0.25">
      <c r="A56" s="23"/>
      <c r="B56" s="24"/>
      <c r="C56" s="25"/>
      <c r="D56" s="27"/>
      <c r="E56" s="27"/>
      <c r="F56" s="28"/>
      <c r="G56" s="27"/>
      <c r="H56" s="548"/>
      <c r="I56" s="27"/>
      <c r="J56" s="635"/>
      <c r="K56" s="635"/>
      <c r="L56" s="635"/>
      <c r="M56" s="635"/>
      <c r="N56" s="636"/>
      <c r="O56" s="635"/>
      <c r="P56" s="637"/>
      <c r="Q56" s="637"/>
      <c r="R56" s="635"/>
      <c r="S56" s="637"/>
      <c r="T56" s="644"/>
    </row>
    <row r="57" spans="1:20" x14ac:dyDescent="0.25">
      <c r="A57" s="23"/>
      <c r="B57" s="24"/>
      <c r="C57" s="25"/>
      <c r="D57" s="27"/>
      <c r="E57" s="27"/>
      <c r="F57" s="28"/>
      <c r="G57" s="27"/>
      <c r="H57" s="548"/>
      <c r="I57" s="27"/>
      <c r="J57" s="635"/>
      <c r="K57" s="635"/>
      <c r="L57" s="635"/>
      <c r="M57" s="635"/>
      <c r="N57" s="636"/>
      <c r="O57" s="635"/>
      <c r="P57" s="637"/>
      <c r="Q57" s="637"/>
      <c r="R57" s="635"/>
      <c r="S57" s="637"/>
      <c r="T57" s="644"/>
    </row>
    <row r="58" spans="1:20" x14ac:dyDescent="0.25">
      <c r="A58" s="23"/>
      <c r="B58" s="24"/>
      <c r="C58" s="25"/>
      <c r="D58" s="27"/>
      <c r="E58" s="27"/>
      <c r="F58" s="28"/>
      <c r="G58" s="27"/>
      <c r="H58" s="548"/>
      <c r="I58" s="27"/>
      <c r="J58" s="635"/>
      <c r="K58" s="635"/>
      <c r="L58" s="635"/>
      <c r="M58" s="635"/>
      <c r="N58" s="636"/>
      <c r="O58" s="635"/>
      <c r="P58" s="637"/>
      <c r="Q58" s="637"/>
      <c r="R58" s="635"/>
      <c r="S58" s="637"/>
      <c r="T58" s="644"/>
    </row>
    <row r="59" spans="1:20" x14ac:dyDescent="0.25">
      <c r="A59" s="45"/>
      <c r="B59" s="46"/>
      <c r="C59" s="47"/>
      <c r="D59" s="48"/>
      <c r="E59" s="48"/>
      <c r="F59" s="49"/>
      <c r="G59" s="48"/>
      <c r="H59" s="548"/>
      <c r="I59" s="48"/>
      <c r="J59" s="639"/>
      <c r="K59" s="639"/>
      <c r="L59" s="639"/>
      <c r="M59" s="639"/>
      <c r="N59" s="640"/>
      <c r="O59" s="639"/>
      <c r="P59" s="641"/>
      <c r="Q59" s="641"/>
      <c r="R59" s="639"/>
      <c r="S59" s="641"/>
      <c r="T59" s="643"/>
    </row>
    <row r="60" spans="1:20" x14ac:dyDescent="0.25">
      <c r="A60" s="45"/>
      <c r="B60" s="46"/>
      <c r="C60" s="47"/>
      <c r="D60" s="48"/>
      <c r="E60" s="48"/>
      <c r="F60" s="49"/>
      <c r="G60" s="48"/>
      <c r="H60" s="548"/>
      <c r="I60" s="48"/>
      <c r="J60" s="639"/>
      <c r="K60" s="639"/>
      <c r="L60" s="639"/>
      <c r="M60" s="639"/>
      <c r="N60" s="640"/>
      <c r="O60" s="639"/>
      <c r="P60" s="641"/>
      <c r="Q60" s="641"/>
      <c r="R60" s="639"/>
      <c r="S60" s="641"/>
      <c r="T60" s="643"/>
    </row>
    <row r="61" spans="1:20" x14ac:dyDescent="0.25">
      <c r="A61" s="45"/>
      <c r="B61" s="46"/>
      <c r="C61" s="47"/>
      <c r="D61" s="48"/>
      <c r="E61" s="48"/>
      <c r="F61" s="49"/>
      <c r="G61" s="48"/>
      <c r="H61" s="548"/>
      <c r="I61" s="48"/>
      <c r="J61" s="639"/>
      <c r="K61" s="639"/>
      <c r="L61" s="639"/>
      <c r="M61" s="639"/>
      <c r="N61" s="640"/>
      <c r="O61" s="639"/>
      <c r="P61" s="641"/>
      <c r="Q61" s="641"/>
      <c r="R61" s="639"/>
      <c r="S61" s="641"/>
      <c r="T61" s="643"/>
    </row>
    <row r="62" spans="1:20" x14ac:dyDescent="0.25">
      <c r="A62" s="45"/>
      <c r="B62" s="46"/>
      <c r="C62" s="47"/>
      <c r="D62" s="48"/>
      <c r="E62" s="48"/>
      <c r="F62" s="49"/>
      <c r="G62" s="48"/>
      <c r="H62" s="548"/>
      <c r="I62" s="48"/>
      <c r="J62" s="639"/>
      <c r="K62" s="639"/>
      <c r="L62" s="639"/>
      <c r="M62" s="639"/>
      <c r="N62" s="640"/>
      <c r="O62" s="639"/>
      <c r="P62" s="641"/>
      <c r="Q62" s="641"/>
      <c r="R62" s="639"/>
      <c r="S62" s="641"/>
      <c r="T62" s="643"/>
    </row>
    <row r="63" spans="1:20" x14ac:dyDescent="0.25">
      <c r="A63" s="45"/>
      <c r="B63" s="46"/>
      <c r="C63" s="47"/>
      <c r="D63" s="48"/>
      <c r="E63" s="48"/>
      <c r="F63" s="49"/>
      <c r="G63" s="48"/>
      <c r="H63" s="548"/>
      <c r="I63" s="48"/>
      <c r="J63" s="639"/>
      <c r="K63" s="639"/>
      <c r="L63" s="639"/>
      <c r="M63" s="639"/>
      <c r="N63" s="640"/>
      <c r="O63" s="639"/>
      <c r="P63" s="641"/>
      <c r="Q63" s="641"/>
      <c r="R63" s="639"/>
      <c r="S63" s="641"/>
      <c r="T63" s="643"/>
    </row>
    <row r="64" spans="1:20" x14ac:dyDescent="0.25">
      <c r="A64" s="23"/>
      <c r="B64" s="24"/>
      <c r="C64" s="25"/>
      <c r="D64" s="27"/>
      <c r="E64" s="27"/>
      <c r="F64" s="28"/>
      <c r="G64" s="27"/>
      <c r="H64" s="548"/>
      <c r="I64" s="27"/>
      <c r="J64" s="635"/>
      <c r="K64" s="635"/>
      <c r="L64" s="635"/>
      <c r="M64" s="635"/>
      <c r="N64" s="636"/>
      <c r="O64" s="635"/>
      <c r="P64" s="637"/>
      <c r="Q64" s="637"/>
      <c r="R64" s="635"/>
      <c r="S64" s="637"/>
      <c r="T64" s="644"/>
    </row>
    <row r="65" spans="1:20" x14ac:dyDescent="0.25">
      <c r="A65" s="23"/>
      <c r="B65" s="24"/>
      <c r="C65" s="25"/>
      <c r="D65" s="27"/>
      <c r="E65" s="27"/>
      <c r="F65" s="28"/>
      <c r="G65" s="27"/>
      <c r="H65" s="548"/>
      <c r="I65" s="27"/>
      <c r="J65" s="635"/>
      <c r="K65" s="635"/>
      <c r="L65" s="635"/>
      <c r="M65" s="635"/>
      <c r="N65" s="636"/>
      <c r="O65" s="635"/>
      <c r="P65" s="637"/>
      <c r="Q65" s="637"/>
      <c r="R65" s="635"/>
      <c r="S65" s="637"/>
      <c r="T65" s="644"/>
    </row>
    <row r="66" spans="1:20" x14ac:dyDescent="0.25">
      <c r="A66" s="23"/>
      <c r="B66" s="24"/>
      <c r="C66" s="25"/>
      <c r="D66" s="27"/>
      <c r="E66" s="27"/>
      <c r="F66" s="28"/>
      <c r="G66" s="27"/>
      <c r="H66" s="548"/>
      <c r="I66" s="27"/>
      <c r="J66" s="635"/>
      <c r="K66" s="635"/>
      <c r="L66" s="635"/>
      <c r="M66" s="635"/>
      <c r="N66" s="636"/>
      <c r="O66" s="635"/>
      <c r="P66" s="637"/>
      <c r="Q66" s="637"/>
      <c r="R66" s="635"/>
      <c r="S66" s="637"/>
      <c r="T66" s="644"/>
    </row>
    <row r="67" spans="1:20" x14ac:dyDescent="0.25">
      <c r="A67" s="23"/>
      <c r="B67" s="24"/>
      <c r="C67" s="25"/>
      <c r="D67" s="27"/>
      <c r="E67" s="27"/>
      <c r="F67" s="28"/>
      <c r="G67" s="27"/>
      <c r="H67" s="548"/>
      <c r="I67" s="27"/>
      <c r="J67" s="635"/>
      <c r="K67" s="635"/>
      <c r="L67" s="635"/>
      <c r="M67" s="635"/>
      <c r="N67" s="636"/>
      <c r="O67" s="635"/>
      <c r="P67" s="637"/>
      <c r="Q67" s="637"/>
      <c r="R67" s="635"/>
      <c r="S67" s="637"/>
      <c r="T67" s="644"/>
    </row>
    <row r="68" spans="1:20" x14ac:dyDescent="0.25">
      <c r="A68" s="23"/>
      <c r="B68" s="24"/>
      <c r="C68" s="25"/>
      <c r="D68" s="27"/>
      <c r="E68" s="27"/>
      <c r="F68" s="28"/>
      <c r="G68" s="27"/>
      <c r="H68" s="548"/>
      <c r="I68" s="27"/>
      <c r="J68" s="635"/>
      <c r="K68" s="635"/>
      <c r="L68" s="635"/>
      <c r="M68" s="635"/>
      <c r="N68" s="636"/>
      <c r="O68" s="635"/>
      <c r="P68" s="637"/>
      <c r="Q68" s="637"/>
      <c r="R68" s="635"/>
      <c r="S68" s="637"/>
      <c r="T68" s="644"/>
    </row>
    <row r="69" spans="1:20" x14ac:dyDescent="0.25">
      <c r="A69" s="45"/>
      <c r="B69" s="46"/>
      <c r="C69" s="47"/>
      <c r="D69" s="48"/>
      <c r="E69" s="48"/>
      <c r="F69" s="49"/>
      <c r="G69" s="48"/>
      <c r="H69" s="548"/>
      <c r="I69" s="48"/>
      <c r="J69" s="639"/>
      <c r="K69" s="639"/>
      <c r="L69" s="639"/>
      <c r="M69" s="639"/>
      <c r="N69" s="640"/>
      <c r="O69" s="639"/>
      <c r="P69" s="641"/>
      <c r="Q69" s="641"/>
      <c r="R69" s="639"/>
      <c r="S69" s="641"/>
      <c r="T69" s="643"/>
    </row>
    <row r="70" spans="1:20" x14ac:dyDescent="0.25">
      <c r="A70" s="45"/>
      <c r="B70" s="46"/>
      <c r="C70" s="47"/>
      <c r="D70" s="48"/>
      <c r="E70" s="48"/>
      <c r="F70" s="49"/>
      <c r="G70" s="48"/>
      <c r="H70" s="548"/>
      <c r="I70" s="48"/>
      <c r="J70" s="639"/>
      <c r="K70" s="639"/>
      <c r="L70" s="639"/>
      <c r="M70" s="639"/>
      <c r="N70" s="640"/>
      <c r="O70" s="639"/>
      <c r="P70" s="641"/>
      <c r="Q70" s="641"/>
      <c r="R70" s="639"/>
      <c r="S70" s="641"/>
      <c r="T70" s="643"/>
    </row>
    <row r="71" spans="1:20" x14ac:dyDescent="0.25">
      <c r="A71" s="45"/>
      <c r="B71" s="46"/>
      <c r="C71" s="47"/>
      <c r="D71" s="48"/>
      <c r="E71" s="48"/>
      <c r="F71" s="49"/>
      <c r="G71" s="48"/>
      <c r="H71" s="548"/>
      <c r="I71" s="48"/>
      <c r="J71" s="639"/>
      <c r="K71" s="639"/>
      <c r="L71" s="639"/>
      <c r="M71" s="639"/>
      <c r="N71" s="640"/>
      <c r="O71" s="639"/>
      <c r="P71" s="641"/>
      <c r="Q71" s="641"/>
      <c r="R71" s="639"/>
      <c r="S71" s="641"/>
      <c r="T71" s="643"/>
    </row>
    <row r="72" spans="1:20" x14ac:dyDescent="0.25">
      <c r="A72" s="45"/>
      <c r="B72" s="46"/>
      <c r="C72" s="47"/>
      <c r="D72" s="48"/>
      <c r="E72" s="48"/>
      <c r="F72" s="49"/>
      <c r="G72" s="48"/>
      <c r="H72" s="548"/>
      <c r="I72" s="48"/>
      <c r="J72" s="639"/>
      <c r="K72" s="639"/>
      <c r="L72" s="639"/>
      <c r="M72" s="639"/>
      <c r="N72" s="640"/>
      <c r="O72" s="639"/>
      <c r="P72" s="641"/>
      <c r="Q72" s="641"/>
      <c r="R72" s="639"/>
      <c r="S72" s="641"/>
      <c r="T72" s="643"/>
    </row>
    <row r="73" spans="1:20" x14ac:dyDescent="0.25">
      <c r="A73" s="45"/>
      <c r="B73" s="46"/>
      <c r="C73" s="47"/>
      <c r="D73" s="48"/>
      <c r="E73" s="48"/>
      <c r="F73" s="49"/>
      <c r="G73" s="48"/>
      <c r="H73" s="548"/>
      <c r="I73" s="48"/>
      <c r="J73" s="639"/>
      <c r="K73" s="639"/>
      <c r="L73" s="639"/>
      <c r="M73" s="639"/>
      <c r="N73" s="640"/>
      <c r="O73" s="639"/>
      <c r="P73" s="641"/>
      <c r="Q73" s="641"/>
      <c r="R73" s="639"/>
      <c r="S73" s="641"/>
      <c r="T73" s="643"/>
    </row>
    <row r="74" spans="1:20" x14ac:dyDescent="0.25">
      <c r="A74" s="23"/>
      <c r="B74" s="24"/>
      <c r="C74" s="25"/>
      <c r="D74" s="27"/>
      <c r="E74" s="27"/>
      <c r="F74" s="28"/>
      <c r="G74" s="27"/>
      <c r="H74" s="548"/>
      <c r="I74" s="27"/>
      <c r="J74" s="635"/>
      <c r="K74" s="635"/>
      <c r="L74" s="635"/>
      <c r="M74" s="635"/>
      <c r="N74" s="636"/>
      <c r="O74" s="635"/>
      <c r="P74" s="637"/>
      <c r="Q74" s="637"/>
      <c r="R74" s="635"/>
      <c r="S74" s="637"/>
      <c r="T74" s="644"/>
    </row>
    <row r="75" spans="1:20" x14ac:dyDescent="0.25">
      <c r="A75" s="23"/>
      <c r="B75" s="24"/>
      <c r="C75" s="25"/>
      <c r="D75" s="27"/>
      <c r="E75" s="27"/>
      <c r="F75" s="28"/>
      <c r="G75" s="27"/>
      <c r="H75" s="548"/>
      <c r="I75" s="27"/>
      <c r="J75" s="635"/>
      <c r="K75" s="635"/>
      <c r="L75" s="635"/>
      <c r="M75" s="635"/>
      <c r="N75" s="636"/>
      <c r="O75" s="635"/>
      <c r="P75" s="637"/>
      <c r="Q75" s="637"/>
      <c r="R75" s="635"/>
      <c r="S75" s="637"/>
      <c r="T75" s="644"/>
    </row>
    <row r="76" spans="1:20" x14ac:dyDescent="0.25">
      <c r="A76" s="23"/>
      <c r="B76" s="24"/>
      <c r="C76" s="25"/>
      <c r="D76" s="27"/>
      <c r="E76" s="27"/>
      <c r="F76" s="28"/>
      <c r="G76" s="27"/>
      <c r="H76" s="548"/>
      <c r="I76" s="27"/>
      <c r="J76" s="635"/>
      <c r="K76" s="635"/>
      <c r="L76" s="635"/>
      <c r="M76" s="635"/>
      <c r="N76" s="636"/>
      <c r="O76" s="635"/>
      <c r="P76" s="637"/>
      <c r="Q76" s="637"/>
      <c r="R76" s="635"/>
      <c r="S76" s="637"/>
      <c r="T76" s="644"/>
    </row>
    <row r="77" spans="1:20" x14ac:dyDescent="0.25">
      <c r="A77" s="23"/>
      <c r="B77" s="24"/>
      <c r="C77" s="25"/>
      <c r="D77" s="27"/>
      <c r="E77" s="27"/>
      <c r="F77" s="28"/>
      <c r="G77" s="27"/>
      <c r="H77" s="548"/>
      <c r="I77" s="27"/>
      <c r="J77" s="635"/>
      <c r="K77" s="635"/>
      <c r="L77" s="635"/>
      <c r="M77" s="635"/>
      <c r="N77" s="636"/>
      <c r="O77" s="635"/>
      <c r="P77" s="637"/>
      <c r="Q77" s="637"/>
      <c r="R77" s="635"/>
      <c r="S77" s="637"/>
      <c r="T77" s="644"/>
    </row>
    <row r="78" spans="1:20" x14ac:dyDescent="0.25">
      <c r="A78" s="23"/>
      <c r="B78" s="24"/>
      <c r="C78" s="25"/>
      <c r="D78" s="27"/>
      <c r="E78" s="27"/>
      <c r="F78" s="28"/>
      <c r="G78" s="27"/>
      <c r="H78" s="548"/>
      <c r="I78" s="27"/>
      <c r="J78" s="635"/>
      <c r="K78" s="635"/>
      <c r="L78" s="635"/>
      <c r="M78" s="635"/>
      <c r="N78" s="636"/>
      <c r="O78" s="635"/>
      <c r="P78" s="637"/>
      <c r="Q78" s="637"/>
      <c r="R78" s="635"/>
      <c r="S78" s="637"/>
      <c r="T78" s="644"/>
    </row>
    <row r="79" spans="1:20" x14ac:dyDescent="0.25">
      <c r="A79" s="45"/>
      <c r="B79" s="46"/>
      <c r="C79" s="47"/>
      <c r="D79" s="48"/>
      <c r="E79" s="48"/>
      <c r="F79" s="49"/>
      <c r="G79" s="48"/>
      <c r="H79" s="548"/>
      <c r="I79" s="48"/>
      <c r="J79" s="639"/>
      <c r="K79" s="639"/>
      <c r="L79" s="639"/>
      <c r="M79" s="639"/>
      <c r="N79" s="640"/>
      <c r="O79" s="639"/>
      <c r="P79" s="641"/>
      <c r="Q79" s="641"/>
      <c r="R79" s="639"/>
      <c r="S79" s="641"/>
      <c r="T79" s="643"/>
    </row>
    <row r="80" spans="1:20" x14ac:dyDescent="0.25">
      <c r="A80" s="45"/>
      <c r="B80" s="46"/>
      <c r="C80" s="47"/>
      <c r="D80" s="48"/>
      <c r="E80" s="48"/>
      <c r="F80" s="49"/>
      <c r="G80" s="48"/>
      <c r="H80" s="548"/>
      <c r="I80" s="48"/>
      <c r="J80" s="639"/>
      <c r="K80" s="639"/>
      <c r="L80" s="639"/>
      <c r="M80" s="639"/>
      <c r="N80" s="640"/>
      <c r="O80" s="639"/>
      <c r="P80" s="641"/>
      <c r="Q80" s="641"/>
      <c r="R80" s="639"/>
      <c r="S80" s="641"/>
      <c r="T80" s="643"/>
    </row>
    <row r="81" spans="1:20" x14ac:dyDescent="0.25">
      <c r="A81" s="45"/>
      <c r="B81" s="46"/>
      <c r="C81" s="47"/>
      <c r="D81" s="48"/>
      <c r="E81" s="48"/>
      <c r="F81" s="49"/>
      <c r="G81" s="48"/>
      <c r="H81" s="548"/>
      <c r="I81" s="48"/>
      <c r="J81" s="639"/>
      <c r="K81" s="639"/>
      <c r="L81" s="639"/>
      <c r="M81" s="639"/>
      <c r="N81" s="640"/>
      <c r="O81" s="639"/>
      <c r="P81" s="641"/>
      <c r="Q81" s="641"/>
      <c r="R81" s="639"/>
      <c r="S81" s="641"/>
      <c r="T81" s="643"/>
    </row>
    <row r="82" spans="1:20" x14ac:dyDescent="0.25">
      <c r="A82" s="45"/>
      <c r="B82" s="46"/>
      <c r="C82" s="47"/>
      <c r="D82" s="48"/>
      <c r="E82" s="48"/>
      <c r="F82" s="49"/>
      <c r="G82" s="48"/>
      <c r="H82" s="548"/>
      <c r="I82" s="48"/>
      <c r="J82" s="639"/>
      <c r="K82" s="639"/>
      <c r="L82" s="639"/>
      <c r="M82" s="639"/>
      <c r="N82" s="640"/>
      <c r="O82" s="639"/>
      <c r="P82" s="641"/>
      <c r="Q82" s="641"/>
      <c r="R82" s="639"/>
      <c r="S82" s="641"/>
      <c r="T82" s="643"/>
    </row>
    <row r="83" spans="1:20" x14ac:dyDescent="0.25">
      <c r="A83" s="45"/>
      <c r="B83" s="46"/>
      <c r="C83" s="47"/>
      <c r="D83" s="48"/>
      <c r="E83" s="48"/>
      <c r="F83" s="49"/>
      <c r="G83" s="48"/>
      <c r="H83" s="548"/>
      <c r="I83" s="48"/>
      <c r="J83" s="639"/>
      <c r="K83" s="639"/>
      <c r="L83" s="639"/>
      <c r="M83" s="639"/>
      <c r="N83" s="640"/>
      <c r="O83" s="639"/>
      <c r="P83" s="641"/>
      <c r="Q83" s="641"/>
      <c r="R83" s="639"/>
      <c r="S83" s="641"/>
      <c r="T83" s="643"/>
    </row>
    <row r="84" spans="1:20" x14ac:dyDescent="0.25">
      <c r="A84" s="23"/>
      <c r="B84" s="24"/>
      <c r="C84" s="25"/>
      <c r="D84" s="27"/>
      <c r="E84" s="27"/>
      <c r="F84" s="28"/>
      <c r="G84" s="27"/>
      <c r="H84" s="548"/>
      <c r="I84" s="27"/>
      <c r="J84" s="635"/>
      <c r="K84" s="635"/>
      <c r="L84" s="635"/>
      <c r="M84" s="635"/>
      <c r="N84" s="636"/>
      <c r="O84" s="635"/>
      <c r="P84" s="637"/>
      <c r="Q84" s="637"/>
      <c r="R84" s="635"/>
      <c r="S84" s="637"/>
      <c r="T84" s="644"/>
    </row>
    <row r="85" spans="1:20" x14ac:dyDescent="0.25">
      <c r="A85" s="23"/>
      <c r="B85" s="24"/>
      <c r="C85" s="25"/>
      <c r="D85" s="27"/>
      <c r="E85" s="27"/>
      <c r="F85" s="28"/>
      <c r="G85" s="27"/>
      <c r="H85" s="548"/>
      <c r="I85" s="27"/>
      <c r="J85" s="635"/>
      <c r="K85" s="635"/>
      <c r="L85" s="635"/>
      <c r="M85" s="635"/>
      <c r="N85" s="636"/>
      <c r="O85" s="635"/>
      <c r="P85" s="637"/>
      <c r="Q85" s="637"/>
      <c r="R85" s="635"/>
      <c r="S85" s="637"/>
      <c r="T85" s="644"/>
    </row>
    <row r="86" spans="1:20" x14ac:dyDescent="0.25">
      <c r="A86" s="23"/>
      <c r="B86" s="24"/>
      <c r="C86" s="25"/>
      <c r="D86" s="27"/>
      <c r="E86" s="27"/>
      <c r="F86" s="28"/>
      <c r="G86" s="27"/>
      <c r="H86" s="548"/>
      <c r="I86" s="27"/>
      <c r="J86" s="635"/>
      <c r="K86" s="635"/>
      <c r="L86" s="635"/>
      <c r="M86" s="635"/>
      <c r="N86" s="636"/>
      <c r="O86" s="635"/>
      <c r="P86" s="637"/>
      <c r="Q86" s="637"/>
      <c r="R86" s="635"/>
      <c r="S86" s="637"/>
      <c r="T86" s="644"/>
    </row>
    <row r="87" spans="1:20" x14ac:dyDescent="0.25">
      <c r="A87" s="23"/>
      <c r="B87" s="24"/>
      <c r="C87" s="25"/>
      <c r="D87" s="27"/>
      <c r="E87" s="27"/>
      <c r="F87" s="28"/>
      <c r="G87" s="27"/>
      <c r="H87" s="548"/>
      <c r="I87" s="27"/>
      <c r="J87" s="635"/>
      <c r="K87" s="635"/>
      <c r="L87" s="635"/>
      <c r="M87" s="635"/>
      <c r="N87" s="636"/>
      <c r="O87" s="635"/>
      <c r="P87" s="637"/>
      <c r="Q87" s="637"/>
      <c r="R87" s="635"/>
      <c r="S87" s="637"/>
      <c r="T87" s="644"/>
    </row>
    <row r="88" spans="1:20" x14ac:dyDescent="0.25">
      <c r="A88" s="23"/>
      <c r="B88" s="24"/>
      <c r="C88" s="25"/>
      <c r="D88" s="27"/>
      <c r="E88" s="27"/>
      <c r="F88" s="28"/>
      <c r="G88" s="27"/>
      <c r="H88" s="548"/>
      <c r="I88" s="27"/>
      <c r="J88" s="635"/>
      <c r="K88" s="635"/>
      <c r="L88" s="635"/>
      <c r="M88" s="635"/>
      <c r="N88" s="636"/>
      <c r="O88" s="635"/>
      <c r="P88" s="637"/>
      <c r="Q88" s="637"/>
      <c r="R88" s="635"/>
      <c r="S88" s="637"/>
      <c r="T88" s="644"/>
    </row>
    <row r="89" spans="1:20" x14ac:dyDescent="0.25">
      <c r="A89" s="45"/>
      <c r="B89" s="46"/>
      <c r="C89" s="47"/>
      <c r="D89" s="48"/>
      <c r="E89" s="48"/>
      <c r="F89" s="49"/>
      <c r="G89" s="48"/>
      <c r="H89" s="548"/>
      <c r="I89" s="48"/>
      <c r="J89" s="639"/>
      <c r="K89" s="639"/>
      <c r="L89" s="639"/>
      <c r="M89" s="639"/>
      <c r="N89" s="640"/>
      <c r="O89" s="639"/>
      <c r="P89" s="641"/>
      <c r="Q89" s="641"/>
      <c r="R89" s="639"/>
      <c r="S89" s="641"/>
      <c r="T89" s="643"/>
    </row>
    <row r="90" spans="1:20" x14ac:dyDescent="0.25">
      <c r="A90" s="45"/>
      <c r="B90" s="46"/>
      <c r="C90" s="47"/>
      <c r="D90" s="48"/>
      <c r="E90" s="48"/>
      <c r="F90" s="49"/>
      <c r="G90" s="48"/>
      <c r="H90" s="548"/>
      <c r="I90" s="48"/>
      <c r="J90" s="639"/>
      <c r="K90" s="639"/>
      <c r="L90" s="639"/>
      <c r="M90" s="639"/>
      <c r="N90" s="640"/>
      <c r="O90" s="639"/>
      <c r="P90" s="641"/>
      <c r="Q90" s="641"/>
      <c r="R90" s="639"/>
      <c r="S90" s="641"/>
      <c r="T90" s="643"/>
    </row>
    <row r="91" spans="1:20" x14ac:dyDescent="0.25">
      <c r="A91" s="45"/>
      <c r="B91" s="46"/>
      <c r="C91" s="47"/>
      <c r="D91" s="48"/>
      <c r="E91" s="48"/>
      <c r="F91" s="49"/>
      <c r="G91" s="48"/>
      <c r="H91" s="548"/>
      <c r="I91" s="48"/>
      <c r="J91" s="639"/>
      <c r="K91" s="639"/>
      <c r="L91" s="639"/>
      <c r="M91" s="639"/>
      <c r="N91" s="640"/>
      <c r="O91" s="639"/>
      <c r="P91" s="641"/>
      <c r="Q91" s="641"/>
      <c r="R91" s="639"/>
      <c r="S91" s="641"/>
      <c r="T91" s="643"/>
    </row>
    <row r="92" spans="1:20" x14ac:dyDescent="0.25">
      <c r="A92" s="45"/>
      <c r="B92" s="46"/>
      <c r="C92" s="47"/>
      <c r="D92" s="48"/>
      <c r="E92" s="48"/>
      <c r="F92" s="49"/>
      <c r="G92" s="48"/>
      <c r="H92" s="548"/>
      <c r="I92" s="48"/>
      <c r="J92" s="639"/>
      <c r="K92" s="639"/>
      <c r="L92" s="639"/>
      <c r="M92" s="639"/>
      <c r="N92" s="640"/>
      <c r="O92" s="639"/>
      <c r="P92" s="641"/>
      <c r="Q92" s="641"/>
      <c r="R92" s="639"/>
      <c r="S92" s="641"/>
      <c r="T92" s="643"/>
    </row>
    <row r="93" spans="1:20" x14ac:dyDescent="0.25">
      <c r="A93" s="45"/>
      <c r="B93" s="46"/>
      <c r="C93" s="47"/>
      <c r="D93" s="48"/>
      <c r="E93" s="48"/>
      <c r="F93" s="49"/>
      <c r="G93" s="48"/>
      <c r="H93" s="548"/>
      <c r="I93" s="48"/>
      <c r="J93" s="639"/>
      <c r="K93" s="639"/>
      <c r="L93" s="639"/>
      <c r="M93" s="639"/>
      <c r="N93" s="640"/>
      <c r="O93" s="639"/>
      <c r="P93" s="641"/>
      <c r="Q93" s="641"/>
      <c r="R93" s="639"/>
      <c r="S93" s="641"/>
      <c r="T93" s="643"/>
    </row>
    <row r="94" spans="1:20" x14ac:dyDescent="0.25">
      <c r="A94" s="23"/>
      <c r="B94" s="24"/>
      <c r="C94" s="25"/>
      <c r="D94" s="27"/>
      <c r="E94" s="27"/>
      <c r="F94" s="28"/>
      <c r="G94" s="27"/>
      <c r="H94" s="548"/>
      <c r="I94" s="27"/>
      <c r="J94" s="635"/>
      <c r="K94" s="635"/>
      <c r="L94" s="635"/>
      <c r="M94" s="635"/>
      <c r="N94" s="636"/>
      <c r="O94" s="635"/>
      <c r="P94" s="637"/>
      <c r="Q94" s="637"/>
      <c r="R94" s="635"/>
      <c r="S94" s="637"/>
      <c r="T94" s="644"/>
    </row>
    <row r="95" spans="1:20" x14ac:dyDescent="0.25">
      <c r="A95" s="23"/>
      <c r="B95" s="24"/>
      <c r="C95" s="25"/>
      <c r="D95" s="27"/>
      <c r="E95" s="27"/>
      <c r="F95" s="28"/>
      <c r="G95" s="27"/>
      <c r="H95" s="548"/>
      <c r="I95" s="27"/>
      <c r="J95" s="635"/>
      <c r="K95" s="635"/>
      <c r="L95" s="635"/>
      <c r="M95" s="635"/>
      <c r="N95" s="636"/>
      <c r="O95" s="635"/>
      <c r="P95" s="637"/>
      <c r="Q95" s="637"/>
      <c r="R95" s="635"/>
      <c r="S95" s="637"/>
      <c r="T95" s="644"/>
    </row>
    <row r="96" spans="1:20" x14ac:dyDescent="0.25">
      <c r="A96" s="23"/>
      <c r="B96" s="24"/>
      <c r="C96" s="25"/>
      <c r="D96" s="27"/>
      <c r="E96" s="27"/>
      <c r="F96" s="28"/>
      <c r="G96" s="27"/>
      <c r="H96" s="548"/>
      <c r="I96" s="27"/>
      <c r="J96" s="635"/>
      <c r="K96" s="635"/>
      <c r="L96" s="635"/>
      <c r="M96" s="635"/>
      <c r="N96" s="636"/>
      <c r="O96" s="635"/>
      <c r="P96" s="637"/>
      <c r="Q96" s="637"/>
      <c r="R96" s="635"/>
      <c r="S96" s="637"/>
      <c r="T96" s="644"/>
    </row>
    <row r="97" spans="1:20" x14ac:dyDescent="0.25">
      <c r="A97" s="23"/>
      <c r="B97" s="24"/>
      <c r="C97" s="25"/>
      <c r="D97" s="27"/>
      <c r="E97" s="27"/>
      <c r="F97" s="28"/>
      <c r="G97" s="27"/>
      <c r="H97" s="548"/>
      <c r="I97" s="27"/>
      <c r="J97" s="635"/>
      <c r="K97" s="635"/>
      <c r="L97" s="635"/>
      <c r="M97" s="635"/>
      <c r="N97" s="636"/>
      <c r="O97" s="635"/>
      <c r="P97" s="637"/>
      <c r="Q97" s="637"/>
      <c r="R97" s="635"/>
      <c r="S97" s="637"/>
      <c r="T97" s="644"/>
    </row>
    <row r="98" spans="1:20" x14ac:dyDescent="0.25">
      <c r="A98" s="23"/>
      <c r="B98" s="24"/>
      <c r="C98" s="25"/>
      <c r="D98" s="27"/>
      <c r="E98" s="27"/>
      <c r="F98" s="28"/>
      <c r="G98" s="27"/>
      <c r="H98" s="548"/>
      <c r="I98" s="27"/>
      <c r="J98" s="635"/>
      <c r="K98" s="635"/>
      <c r="L98" s="635"/>
      <c r="M98" s="635"/>
      <c r="N98" s="636"/>
      <c r="O98" s="635"/>
      <c r="P98" s="637"/>
      <c r="Q98" s="637"/>
      <c r="R98" s="635"/>
      <c r="S98" s="637"/>
      <c r="T98" s="644"/>
    </row>
    <row r="99" spans="1:20" x14ac:dyDescent="0.25">
      <c r="A99" s="45"/>
      <c r="B99" s="46"/>
      <c r="C99" s="47"/>
      <c r="D99" s="48"/>
      <c r="E99" s="48"/>
      <c r="F99" s="49"/>
      <c r="G99" s="48"/>
      <c r="H99" s="548"/>
      <c r="I99" s="48"/>
      <c r="J99" s="639"/>
      <c r="K99" s="639"/>
      <c r="L99" s="639"/>
      <c r="M99" s="639"/>
      <c r="N99" s="640"/>
      <c r="O99" s="639"/>
      <c r="P99" s="641"/>
      <c r="Q99" s="641"/>
      <c r="R99" s="639"/>
      <c r="S99" s="641"/>
      <c r="T99" s="643"/>
    </row>
    <row r="100" spans="1:20" x14ac:dyDescent="0.25">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5">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5">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5">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5">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5">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5">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5">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5">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5">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5">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5">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5">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5">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5">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5">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5">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5">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5">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5">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5">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5">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5">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5">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5">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5">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5">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5">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5">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5">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5">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5">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5">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5">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5">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5">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5">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5">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5">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5">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5">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5">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5">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5">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5">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5">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5">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5">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5">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5">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5">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5">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5">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5">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5">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5">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5">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5">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5">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5">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5">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5">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5">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5">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5">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5">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5">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5">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5">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5">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5">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5">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5">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5">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5">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5">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5">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5">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5">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5">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M14" sqref="M14:M18"/>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Mon</v>
      </c>
      <c r="B14" s="24">
        <f>Weather_Site!B12</f>
        <v>41281</v>
      </c>
      <c r="C14" s="25">
        <f>Weather_Site!C12</f>
        <v>0.20833333333333334</v>
      </c>
      <c r="D14" s="27">
        <f>Weather_Site!D12</f>
        <v>17.5</v>
      </c>
      <c r="E14" s="27">
        <f>Weather_Site!E12</f>
        <v>93.9</v>
      </c>
      <c r="F14" s="28">
        <f>Weather_Site!F12</f>
        <v>168</v>
      </c>
      <c r="G14" s="27">
        <f>Weather_Site!G12</f>
        <v>5</v>
      </c>
      <c r="H14" s="180">
        <f>C$4</f>
        <v>0</v>
      </c>
      <c r="I14" s="27">
        <f>IF(Weather_Site!M12&lt;180,Weather_Site!M12+180,Weather_Site!M12-180)</f>
        <v>348</v>
      </c>
      <c r="J14" s="32">
        <f>((1.6779*D14^0.09655)*(196.1*D14^0.3204)+(18.944*317433^(1/D14))*E14^(1.5002*0.0196^(1/D14)))/((196.1*D14^0.3204)+E14^(1.5002*0.0196^(1/D14)))</f>
        <v>14.015054934283592</v>
      </c>
      <c r="K14" s="32">
        <f>((2.143+0.0322*D14-0.0006135*D14^2)*(663.6+17.8*D14)+((193-1.366*D14)*E14^(0.9367+0.00487*D14)))/((663.6+17.8*D14)+E14^(0.9367+0.00487*D14))</f>
        <v>18.535408408657606</v>
      </c>
      <c r="L14" s="32">
        <f>(2.943-0.0415*D14)+(0.196*1.2256^(1/D14))*E14</f>
        <v>20.836342147457984</v>
      </c>
      <c r="M14" s="32">
        <f>IF(AND(OR(MONTH(B14)&gt;10,MONTH(B14)&lt;3),AND(HOUR(C14)&gt;=13,HOUR(C14)&lt;=17)),J14,IF(OR(HOUR(C14)&lt;8,HOUR(C14)&gt;=20),L14,K14))</f>
        <v>20.836342147457984</v>
      </c>
      <c r="N14" s="31">
        <f>M14^-1.495/0.0545</f>
        <v>0.19586885509338919</v>
      </c>
      <c r="O14" s="32">
        <f>EXP(0.069*H14)</f>
        <v>1</v>
      </c>
      <c r="P14" s="33">
        <f>(30+3.102*(IF(G14&lt;5,0,G14-5))^0.904*EXP(0.279*$D$6+0.611*$D$7+0.013*$C$8))*N14*O14</f>
        <v>5.8760656528016755</v>
      </c>
      <c r="Q14" s="33">
        <f>(30+3.102*(IF((0.2*G14+4)&lt;5,0,(0.2*G14+6)-5))^0.904*EXP(0.279*$D$6+0.611*$D$7+0.013*$C$8))*N14</f>
        <v>22.946400719781554</v>
      </c>
      <c r="R14" s="32">
        <f>0.0193*P14^0.723*EXP(0.64*$C$10)</f>
        <v>0.11586859053417466</v>
      </c>
      <c r="S14" s="33">
        <f>MAX(50,ABS(176.969*(ATAN($D$6)*(P14/G14^0.25)^0.5)+1568800*($D$6^-1*(P14/G14^0.25)^-1.5)-3015.09))</f>
        <v>64555.167328049574</v>
      </c>
      <c r="T14" s="322">
        <f>18600*P14/3600*F$11/10</f>
        <v>69.827246840793251</v>
      </c>
    </row>
    <row r="15" spans="1:20" x14ac:dyDescent="0.25">
      <c r="A15" s="23" t="str">
        <f>Weather_Site!A13</f>
        <v>Mon</v>
      </c>
      <c r="B15" s="24">
        <f>Weather_Site!B13</f>
        <v>41281</v>
      </c>
      <c r="C15" s="25">
        <f>Weather_Site!C13</f>
        <v>0.25</v>
      </c>
      <c r="D15" s="27">
        <f>Weather_Site!D13</f>
        <v>17.5</v>
      </c>
      <c r="E15" s="27">
        <f>Weather_Site!E13</f>
        <v>94.5</v>
      </c>
      <c r="F15" s="28">
        <f>Weather_Site!F13</f>
        <v>166</v>
      </c>
      <c r="G15" s="27">
        <f>Weather_Site!G13</f>
        <v>3</v>
      </c>
      <c r="H15" s="180">
        <f t="shared" ref="H15:H18" si="0">C$4</f>
        <v>0</v>
      </c>
      <c r="I15" s="27">
        <f>IF(Weather_Site!M13&lt;180,Weather_Site!M13+180,Weather_Site!M13-180)</f>
        <v>346</v>
      </c>
      <c r="J15" s="32">
        <f t="shared" ref="J15:J18" si="1">((1.6779*D15^0.09655)*(196.1*D15^0.3204)+(18.944*317433^(1/D15))*E15^(1.5002*0.0196^(1/D15)))/((196.1*D15^0.3204)+E15^(1.5002*0.0196^(1/D15)))</f>
        <v>14.076377540048478</v>
      </c>
      <c r="K15" s="32">
        <f t="shared" ref="K15:K18" si="2">((2.143+0.0322*D15-0.0006135*D15^2)*(663.6+17.8*D15)+((193-1.366*D15)*E15^(0.9367+0.00487*D15)))/((663.6+17.8*D15)+E15^(0.9367+0.00487*D15))</f>
        <v>18.629886906713157</v>
      </c>
      <c r="L15" s="32">
        <f t="shared" ref="L15:L18" si="3">(2.943-0.0415*D15)+(0.196*1.2256^(1/D15))*E15</f>
        <v>20.9553171771542</v>
      </c>
      <c r="M15" s="32">
        <f t="shared" ref="M15:M18" si="4">IF(AND(OR(MONTH(B15)&gt;10,MONTH(B15)&lt;3),AND(HOUR(C15)&gt;=13,HOUR(C15)&lt;=17)),J15,IF(OR(HOUR(C15)&lt;8,HOUR(C15)&gt;=20),L15,K15))</f>
        <v>20.9553171771542</v>
      </c>
      <c r="N15" s="31">
        <f t="shared" ref="N15:N18" si="5">M15^-1.495/0.0545</f>
        <v>0.19420866859558819</v>
      </c>
      <c r="O15" s="32">
        <f t="shared" ref="O15:O18" si="6">EXP(0.069*H15)</f>
        <v>1</v>
      </c>
      <c r="P15" s="33">
        <f t="shared" ref="P15:P18" si="7">(30+3.102*(IF(G15&lt;5,0,G15-5))^0.904*EXP(0.279*$D$6+0.611*$D$7+0.013*$C$8))*N15*O15</f>
        <v>5.8262600578676453</v>
      </c>
      <c r="Q15" s="33">
        <f t="shared" ref="Q15:Q18" si="8">(30+3.102*(IF((0.2*G15+4)&lt;5,0,(0.2*G15+6)-5))^0.904*EXP(0.279*$D$6+0.611*$D$7+0.013*$C$8))*N15</f>
        <v>5.8262600578676453</v>
      </c>
      <c r="R15" s="32">
        <f t="shared" ref="R15:R18" si="9">0.0193*P15^0.723*EXP(0.64*$C$10)</f>
        <v>0.11515769319047338</v>
      </c>
      <c r="S15" s="33">
        <f t="shared" ref="S15:S18" si="10">MAX(50,ABS(176.969*(ATAN($D$6)*(P15/G15^0.25)^0.5)+1568800*($D$6^-1*(P15/G15^0.25)^-1.5)-3015.09))</f>
        <v>53591.232493862466</v>
      </c>
      <c r="T15" s="322">
        <f t="shared" ref="T15:T18" si="11">18600*P15/3600*F$11/10</f>
        <v>69.23539035432718</v>
      </c>
    </row>
    <row r="16" spans="1:20" x14ac:dyDescent="0.25">
      <c r="A16" s="23" t="str">
        <f>Weather_Site!A14</f>
        <v>Mon</v>
      </c>
      <c r="B16" s="24">
        <f>Weather_Site!B14</f>
        <v>41281</v>
      </c>
      <c r="C16" s="25">
        <f>Weather_Site!C14</f>
        <v>0.29166666666666669</v>
      </c>
      <c r="D16" s="27">
        <f>Weather_Site!D14</f>
        <v>17.7</v>
      </c>
      <c r="E16" s="27">
        <f>Weather_Site!E14</f>
        <v>92.7</v>
      </c>
      <c r="F16" s="28">
        <f>Weather_Site!F14</f>
        <v>162</v>
      </c>
      <c r="G16" s="27">
        <f>Weather_Site!G14</f>
        <v>2</v>
      </c>
      <c r="H16" s="180">
        <f t="shared" si="0"/>
        <v>0</v>
      </c>
      <c r="I16" s="27">
        <f>IF(Weather_Site!M14&lt;180,Weather_Site!M14+180,Weather_Site!M14-180)</f>
        <v>342</v>
      </c>
      <c r="J16" s="32">
        <f t="shared" si="1"/>
        <v>13.873024944221093</v>
      </c>
      <c r="K16" s="32">
        <f t="shared" si="2"/>
        <v>18.333072266849594</v>
      </c>
      <c r="L16" s="32">
        <f t="shared" si="3"/>
        <v>20.587677791741186</v>
      </c>
      <c r="M16" s="32">
        <f t="shared" si="4"/>
        <v>20.587677791741186</v>
      </c>
      <c r="N16" s="31">
        <f t="shared" si="5"/>
        <v>0.19941622491356154</v>
      </c>
      <c r="O16" s="32">
        <f t="shared" si="6"/>
        <v>1</v>
      </c>
      <c r="P16" s="33">
        <f t="shared" si="7"/>
        <v>5.9824867474068464</v>
      </c>
      <c r="Q16" s="33">
        <f t="shared" si="8"/>
        <v>5.9824867474068464</v>
      </c>
      <c r="R16" s="32">
        <f t="shared" si="9"/>
        <v>0.11738202179033685</v>
      </c>
      <c r="S16" s="33">
        <f t="shared" si="10"/>
        <v>43826.442949889388</v>
      </c>
      <c r="T16" s="322">
        <f t="shared" si="11"/>
        <v>71.091884181684691</v>
      </c>
    </row>
    <row r="17" spans="1:20" x14ac:dyDescent="0.25">
      <c r="A17" s="23" t="str">
        <f>Weather_Site!A15</f>
        <v>Mon</v>
      </c>
      <c r="B17" s="24">
        <f>Weather_Site!B15</f>
        <v>41281</v>
      </c>
      <c r="C17" s="25">
        <f>Weather_Site!C15</f>
        <v>0.33333333333333331</v>
      </c>
      <c r="D17" s="27">
        <f>Weather_Site!D15</f>
        <v>18.399999999999999</v>
      </c>
      <c r="E17" s="27">
        <f>Weather_Site!E15</f>
        <v>87</v>
      </c>
      <c r="F17" s="28">
        <f>Weather_Site!F15</f>
        <v>160</v>
      </c>
      <c r="G17" s="27">
        <f>Weather_Site!G15</f>
        <v>2</v>
      </c>
      <c r="H17" s="180">
        <f t="shared" si="0"/>
        <v>0</v>
      </c>
      <c r="I17" s="27">
        <f>IF(Weather_Site!M15&lt;180,Weather_Site!M15+180,Weather_Site!M15-180)</f>
        <v>340</v>
      </c>
      <c r="J17" s="32">
        <f t="shared" si="1"/>
        <v>13.216625307670482</v>
      </c>
      <c r="K17" s="32">
        <f t="shared" si="2"/>
        <v>17.383774950660552</v>
      </c>
      <c r="L17" s="32">
        <f t="shared" si="3"/>
        <v>19.420973052626692</v>
      </c>
      <c r="M17" s="32">
        <f t="shared" si="4"/>
        <v>17.383774950660552</v>
      </c>
      <c r="N17" s="31">
        <f t="shared" si="5"/>
        <v>0.25679589773510098</v>
      </c>
      <c r="O17" s="32">
        <f t="shared" si="6"/>
        <v>1</v>
      </c>
      <c r="P17" s="33">
        <f t="shared" si="7"/>
        <v>7.7038769320530296</v>
      </c>
      <c r="Q17" s="33">
        <f t="shared" si="8"/>
        <v>7.7038769320530296</v>
      </c>
      <c r="R17" s="32">
        <f t="shared" si="9"/>
        <v>0.14093112993542634</v>
      </c>
      <c r="S17" s="33">
        <f t="shared" si="10"/>
        <v>29262.793699778649</v>
      </c>
      <c r="T17" s="322">
        <f t="shared" si="11"/>
        <v>91.54773754256351</v>
      </c>
    </row>
    <row r="18" spans="1:20" x14ac:dyDescent="0.25">
      <c r="A18" s="23" t="str">
        <f>Weather_Site!A16</f>
        <v>Mon</v>
      </c>
      <c r="B18" s="24">
        <f>Weather_Site!B16</f>
        <v>41281</v>
      </c>
      <c r="C18" s="25">
        <f>Weather_Site!C16</f>
        <v>0.375</v>
      </c>
      <c r="D18" s="27">
        <f>Weather_Site!D16</f>
        <v>19.8</v>
      </c>
      <c r="E18" s="27">
        <f>Weather_Site!E16</f>
        <v>78.3</v>
      </c>
      <c r="F18" s="28">
        <f>Weather_Site!F16</f>
        <v>123</v>
      </c>
      <c r="G18" s="27">
        <f>Weather_Site!G16</f>
        <v>4</v>
      </c>
      <c r="H18" s="180">
        <f t="shared" si="0"/>
        <v>0</v>
      </c>
      <c r="I18" s="27">
        <f>IF(Weather_Site!M16&lt;180,Weather_Site!M16+180,Weather_Site!M16-180)</f>
        <v>303</v>
      </c>
      <c r="J18" s="32">
        <f t="shared" si="1"/>
        <v>12.170187238815213</v>
      </c>
      <c r="K18" s="32">
        <f t="shared" si="2"/>
        <v>15.90067582161797</v>
      </c>
      <c r="L18" s="32">
        <f t="shared" si="3"/>
        <v>17.626589936594698</v>
      </c>
      <c r="M18" s="32">
        <f t="shared" si="4"/>
        <v>15.90067582161797</v>
      </c>
      <c r="N18" s="31">
        <f t="shared" si="5"/>
        <v>0.29341830268961899</v>
      </c>
      <c r="O18" s="32">
        <f t="shared" si="6"/>
        <v>1</v>
      </c>
      <c r="P18" s="33">
        <f t="shared" si="7"/>
        <v>8.8025490806885696</v>
      </c>
      <c r="Q18" s="33">
        <f t="shared" si="8"/>
        <v>8.8025490806885696</v>
      </c>
      <c r="R18" s="32">
        <f t="shared" si="9"/>
        <v>0.15519152361410807</v>
      </c>
      <c r="S18" s="33">
        <f t="shared" si="10"/>
        <v>31211.266928064611</v>
      </c>
      <c r="T18" s="322">
        <f t="shared" si="11"/>
        <v>104.60362490884918</v>
      </c>
    </row>
    <row r="19" spans="1:20" x14ac:dyDescent="0.25">
      <c r="A19" s="45"/>
      <c r="B19" s="46"/>
      <c r="C19" s="47"/>
      <c r="D19" s="48"/>
      <c r="E19" s="48"/>
      <c r="F19" s="49"/>
      <c r="G19" s="48"/>
      <c r="H19" s="180"/>
      <c r="I19" s="48"/>
      <c r="J19" s="51"/>
      <c r="K19" s="51"/>
      <c r="L19" s="51"/>
      <c r="M19" s="51"/>
      <c r="N19" s="54"/>
      <c r="O19" s="51"/>
      <c r="P19" s="52"/>
      <c r="Q19" s="52"/>
      <c r="R19" s="51"/>
      <c r="S19" s="52"/>
      <c r="T19" s="321"/>
    </row>
    <row r="20" spans="1:20" x14ac:dyDescent="0.25">
      <c r="A20" s="45"/>
      <c r="B20" s="46"/>
      <c r="C20" s="47"/>
      <c r="D20" s="48"/>
      <c r="E20" s="48"/>
      <c r="F20" s="49"/>
      <c r="G20" s="48"/>
      <c r="H20" s="180"/>
      <c r="I20" s="48"/>
      <c r="J20" s="51"/>
      <c r="K20" s="51"/>
      <c r="L20" s="51"/>
      <c r="M20" s="51"/>
      <c r="N20" s="54"/>
      <c r="O20" s="51"/>
      <c r="P20" s="52"/>
      <c r="Q20" s="52"/>
      <c r="R20" s="51"/>
      <c r="S20" s="52"/>
      <c r="T20" s="321"/>
    </row>
    <row r="21" spans="1:20" x14ac:dyDescent="0.25">
      <c r="A21" s="45"/>
      <c r="B21" s="46"/>
      <c r="C21" s="47"/>
      <c r="D21" s="48"/>
      <c r="E21" s="48"/>
      <c r="F21" s="49"/>
      <c r="G21" s="48"/>
      <c r="H21" s="180"/>
      <c r="I21" s="48"/>
      <c r="J21" s="51"/>
      <c r="K21" s="51"/>
      <c r="L21" s="51"/>
      <c r="M21" s="51"/>
      <c r="N21" s="54"/>
      <c r="O21" s="51"/>
      <c r="P21" s="52"/>
      <c r="Q21" s="52"/>
      <c r="R21" s="51"/>
      <c r="S21" s="52"/>
      <c r="T21" s="243"/>
    </row>
    <row r="22" spans="1:20" x14ac:dyDescent="0.25">
      <c r="A22" s="45"/>
      <c r="B22" s="46"/>
      <c r="C22" s="47"/>
      <c r="D22" s="48"/>
      <c r="E22" s="48"/>
      <c r="F22" s="49"/>
      <c r="G22" s="48"/>
      <c r="H22" s="180"/>
      <c r="I22" s="48"/>
      <c r="J22" s="51"/>
      <c r="K22" s="51"/>
      <c r="L22" s="51"/>
      <c r="M22" s="51"/>
      <c r="N22" s="54"/>
      <c r="O22" s="51"/>
      <c r="P22" s="52"/>
      <c r="Q22" s="52"/>
      <c r="R22" s="51"/>
      <c r="S22" s="52"/>
      <c r="T22" s="243"/>
    </row>
    <row r="23" spans="1:20" x14ac:dyDescent="0.25">
      <c r="A23" s="45"/>
      <c r="B23" s="46"/>
      <c r="C23" s="47"/>
      <c r="D23" s="48"/>
      <c r="E23" s="48"/>
      <c r="F23" s="49"/>
      <c r="G23" s="48"/>
      <c r="H23" s="180"/>
      <c r="I23" s="48"/>
      <c r="J23" s="51"/>
      <c r="K23" s="51"/>
      <c r="L23" s="51"/>
      <c r="M23" s="51"/>
      <c r="N23" s="54"/>
      <c r="O23" s="51"/>
      <c r="P23" s="52"/>
      <c r="Q23" s="52"/>
      <c r="R23" s="51"/>
      <c r="S23" s="52"/>
      <c r="T23" s="243"/>
    </row>
    <row r="24" spans="1:20" x14ac:dyDescent="0.25">
      <c r="A24" s="23"/>
      <c r="B24" s="24"/>
      <c r="C24" s="25"/>
      <c r="D24" s="27"/>
      <c r="E24" s="27"/>
      <c r="F24" s="28"/>
      <c r="G24" s="27"/>
      <c r="H24" s="180"/>
      <c r="I24" s="27"/>
      <c r="J24" s="32"/>
      <c r="K24" s="32"/>
      <c r="L24" s="32"/>
      <c r="M24" s="32"/>
      <c r="N24" s="31"/>
      <c r="O24" s="32"/>
      <c r="P24" s="33"/>
      <c r="Q24" s="33"/>
      <c r="R24" s="32"/>
      <c r="S24" s="33"/>
      <c r="T24" s="5"/>
    </row>
    <row r="25" spans="1:20" x14ac:dyDescent="0.25">
      <c r="A25" s="23"/>
      <c r="B25" s="24"/>
      <c r="C25" s="25"/>
      <c r="D25" s="27"/>
      <c r="E25" s="27"/>
      <c r="F25" s="28"/>
      <c r="G25" s="27"/>
      <c r="H25" s="180"/>
      <c r="I25" s="27"/>
      <c r="J25" s="32"/>
      <c r="K25" s="32"/>
      <c r="L25" s="32"/>
      <c r="M25" s="32"/>
      <c r="N25" s="31"/>
      <c r="O25" s="32"/>
      <c r="P25" s="33"/>
      <c r="Q25" s="33"/>
      <c r="R25" s="32"/>
      <c r="S25" s="33"/>
      <c r="T25" s="5"/>
    </row>
    <row r="26" spans="1:20" x14ac:dyDescent="0.25">
      <c r="A26" s="23"/>
      <c r="B26" s="24"/>
      <c r="C26" s="25"/>
      <c r="D26" s="27"/>
      <c r="E26" s="27"/>
      <c r="F26" s="28"/>
      <c r="G26" s="27"/>
      <c r="H26" s="180"/>
      <c r="I26" s="27"/>
      <c r="J26" s="32"/>
      <c r="K26" s="32"/>
      <c r="L26" s="32"/>
      <c r="M26" s="32"/>
      <c r="N26" s="31"/>
      <c r="O26" s="32"/>
      <c r="P26" s="33"/>
      <c r="Q26" s="33"/>
      <c r="R26" s="32"/>
      <c r="S26" s="33"/>
      <c r="T26" s="5"/>
    </row>
    <row r="27" spans="1:20" x14ac:dyDescent="0.25">
      <c r="A27" s="23"/>
      <c r="B27" s="24"/>
      <c r="C27" s="25"/>
      <c r="D27" s="27"/>
      <c r="E27" s="27"/>
      <c r="F27" s="28"/>
      <c r="G27" s="27"/>
      <c r="H27" s="180"/>
      <c r="I27" s="27"/>
      <c r="J27" s="32"/>
      <c r="K27" s="32"/>
      <c r="L27" s="32"/>
      <c r="M27" s="32"/>
      <c r="N27" s="31"/>
      <c r="O27" s="32"/>
      <c r="P27" s="33"/>
      <c r="Q27" s="33"/>
      <c r="R27" s="32"/>
      <c r="S27" s="33"/>
      <c r="T27" s="5"/>
    </row>
    <row r="28" spans="1:20" x14ac:dyDescent="0.25">
      <c r="A28" s="23"/>
      <c r="B28" s="24"/>
      <c r="C28" s="25"/>
      <c r="D28" s="27"/>
      <c r="E28" s="27"/>
      <c r="F28" s="28"/>
      <c r="G28" s="27"/>
      <c r="H28" s="180"/>
      <c r="I28" s="27"/>
      <c r="J28" s="32"/>
      <c r="K28" s="32"/>
      <c r="L28" s="32"/>
      <c r="M28" s="32"/>
      <c r="N28" s="31"/>
      <c r="O28" s="32"/>
      <c r="P28" s="33"/>
      <c r="Q28" s="33"/>
      <c r="R28" s="32"/>
      <c r="S28" s="33"/>
      <c r="T28" s="5"/>
    </row>
    <row r="29" spans="1:20" x14ac:dyDescent="0.25">
      <c r="A29" s="45"/>
      <c r="B29" s="46"/>
      <c r="C29" s="47"/>
      <c r="D29" s="48"/>
      <c r="E29" s="48"/>
      <c r="F29" s="49"/>
      <c r="G29" s="48"/>
      <c r="H29" s="180"/>
      <c r="I29" s="48"/>
      <c r="J29" s="51"/>
      <c r="K29" s="51"/>
      <c r="L29" s="51"/>
      <c r="M29" s="51"/>
      <c r="N29" s="54"/>
      <c r="O29" s="51"/>
      <c r="P29" s="52"/>
      <c r="Q29" s="52"/>
      <c r="R29" s="51"/>
      <c r="S29" s="52"/>
      <c r="T29" s="243"/>
    </row>
    <row r="30" spans="1:20" x14ac:dyDescent="0.25">
      <c r="A30" s="45"/>
      <c r="B30" s="46"/>
      <c r="C30" s="47"/>
      <c r="D30" s="48"/>
      <c r="E30" s="48"/>
      <c r="F30" s="49"/>
      <c r="G30" s="48"/>
      <c r="H30" s="180"/>
      <c r="I30" s="48"/>
      <c r="J30" s="51"/>
      <c r="K30" s="51"/>
      <c r="L30" s="51"/>
      <c r="M30" s="51"/>
      <c r="N30" s="54"/>
      <c r="O30" s="51"/>
      <c r="P30" s="52"/>
      <c r="Q30" s="52"/>
      <c r="R30" s="51"/>
      <c r="S30" s="52"/>
      <c r="T30" s="243"/>
    </row>
    <row r="31" spans="1:20" x14ac:dyDescent="0.25">
      <c r="A31" s="45"/>
      <c r="B31" s="46"/>
      <c r="C31" s="47"/>
      <c r="D31" s="48"/>
      <c r="E31" s="48"/>
      <c r="F31" s="49"/>
      <c r="G31" s="48"/>
      <c r="H31" s="180"/>
      <c r="I31" s="48"/>
      <c r="J31" s="51"/>
      <c r="K31" s="51"/>
      <c r="L31" s="51"/>
      <c r="M31" s="51"/>
      <c r="N31" s="54"/>
      <c r="O31" s="51"/>
      <c r="P31" s="52"/>
      <c r="Q31" s="52"/>
      <c r="R31" s="51"/>
      <c r="S31" s="52"/>
      <c r="T31" s="243"/>
    </row>
    <row r="32" spans="1:20" x14ac:dyDescent="0.25">
      <c r="A32" s="45"/>
      <c r="B32" s="46"/>
      <c r="C32" s="47"/>
      <c r="D32" s="48"/>
      <c r="E32" s="48"/>
      <c r="F32" s="49"/>
      <c r="G32" s="48"/>
      <c r="H32" s="180"/>
      <c r="I32" s="48"/>
      <c r="J32" s="51"/>
      <c r="K32" s="51"/>
      <c r="L32" s="51"/>
      <c r="M32" s="51"/>
      <c r="N32" s="54"/>
      <c r="O32" s="51"/>
      <c r="P32" s="52"/>
      <c r="Q32" s="52"/>
      <c r="R32" s="51"/>
      <c r="S32" s="52"/>
      <c r="T32" s="243"/>
    </row>
    <row r="33" spans="1:20" x14ac:dyDescent="0.25">
      <c r="A33" s="45"/>
      <c r="B33" s="46"/>
      <c r="C33" s="47"/>
      <c r="D33" s="48"/>
      <c r="E33" s="48"/>
      <c r="F33" s="49"/>
      <c r="G33" s="48"/>
      <c r="H33" s="180"/>
      <c r="I33" s="48"/>
      <c r="J33" s="51"/>
      <c r="K33" s="51"/>
      <c r="L33" s="51"/>
      <c r="M33" s="51"/>
      <c r="N33" s="54"/>
      <c r="O33" s="51"/>
      <c r="P33" s="52"/>
      <c r="Q33" s="52"/>
      <c r="R33" s="51"/>
      <c r="S33" s="52"/>
      <c r="T33" s="243"/>
    </row>
    <row r="34" spans="1:20" x14ac:dyDescent="0.25">
      <c r="A34" s="23"/>
      <c r="B34" s="24"/>
      <c r="C34" s="25"/>
      <c r="D34" s="27"/>
      <c r="E34" s="27"/>
      <c r="F34" s="28"/>
      <c r="G34" s="27"/>
      <c r="H34" s="180"/>
      <c r="I34" s="27"/>
      <c r="J34" s="32"/>
      <c r="K34" s="32"/>
      <c r="L34" s="32"/>
      <c r="M34" s="32"/>
      <c r="N34" s="31"/>
      <c r="O34" s="32"/>
      <c r="P34" s="33"/>
      <c r="Q34" s="33"/>
      <c r="R34" s="32"/>
      <c r="S34" s="33"/>
      <c r="T34" s="5"/>
    </row>
    <row r="35" spans="1:20" x14ac:dyDescent="0.25">
      <c r="A35" s="23"/>
      <c r="B35" s="24"/>
      <c r="C35" s="25"/>
      <c r="D35" s="27"/>
      <c r="E35" s="27"/>
      <c r="F35" s="28"/>
      <c r="G35" s="27"/>
      <c r="H35" s="180"/>
      <c r="I35" s="27"/>
      <c r="J35" s="32"/>
      <c r="K35" s="32"/>
      <c r="L35" s="32"/>
      <c r="M35" s="32"/>
      <c r="N35" s="31"/>
      <c r="O35" s="32"/>
      <c r="P35" s="33"/>
      <c r="Q35" s="33"/>
      <c r="R35" s="32"/>
      <c r="S35" s="33"/>
      <c r="T35" s="5"/>
    </row>
    <row r="36" spans="1:20" x14ac:dyDescent="0.25">
      <c r="A36" s="23"/>
      <c r="B36" s="24"/>
      <c r="C36" s="25"/>
      <c r="D36" s="27"/>
      <c r="E36" s="27"/>
      <c r="F36" s="28"/>
      <c r="G36" s="27"/>
      <c r="H36" s="180"/>
      <c r="I36" s="27"/>
      <c r="J36" s="32"/>
      <c r="K36" s="32"/>
      <c r="L36" s="32"/>
      <c r="M36" s="32"/>
      <c r="N36" s="31"/>
      <c r="O36" s="32"/>
      <c r="P36" s="33"/>
      <c r="Q36" s="33"/>
      <c r="R36" s="32"/>
      <c r="S36" s="33"/>
      <c r="T36" s="5"/>
    </row>
    <row r="37" spans="1:20" x14ac:dyDescent="0.25">
      <c r="A37" s="23"/>
      <c r="B37" s="24"/>
      <c r="C37" s="25"/>
      <c r="D37" s="27"/>
      <c r="E37" s="27"/>
      <c r="F37" s="28"/>
      <c r="G37" s="27"/>
      <c r="H37" s="180"/>
      <c r="I37" s="27"/>
      <c r="J37" s="32"/>
      <c r="K37" s="32"/>
      <c r="L37" s="32"/>
      <c r="M37" s="32"/>
      <c r="N37" s="31"/>
      <c r="O37" s="32"/>
      <c r="P37" s="33"/>
      <c r="Q37" s="33"/>
      <c r="R37" s="32"/>
      <c r="S37" s="33"/>
      <c r="T37" s="5"/>
    </row>
    <row r="38" spans="1:20" x14ac:dyDescent="0.25">
      <c r="A38" s="23"/>
      <c r="B38" s="24"/>
      <c r="C38" s="25"/>
      <c r="D38" s="27"/>
      <c r="E38" s="27"/>
      <c r="F38" s="28"/>
      <c r="G38" s="27"/>
      <c r="H38" s="180"/>
      <c r="I38" s="27"/>
      <c r="J38" s="32"/>
      <c r="K38" s="32"/>
      <c r="L38" s="32"/>
      <c r="M38" s="32"/>
      <c r="N38" s="31"/>
      <c r="O38" s="32"/>
      <c r="P38" s="33"/>
      <c r="Q38" s="33"/>
      <c r="R38" s="32"/>
      <c r="S38" s="33"/>
      <c r="T38" s="5"/>
    </row>
    <row r="39" spans="1:20" x14ac:dyDescent="0.25">
      <c r="A39" s="45"/>
      <c r="B39" s="46"/>
      <c r="C39" s="47"/>
      <c r="D39" s="48"/>
      <c r="E39" s="48"/>
      <c r="F39" s="49"/>
      <c r="G39" s="48"/>
      <c r="H39" s="180"/>
      <c r="I39" s="48"/>
      <c r="J39" s="51"/>
      <c r="K39" s="51"/>
      <c r="L39" s="51"/>
      <c r="M39" s="51"/>
      <c r="N39" s="54"/>
      <c r="O39" s="51"/>
      <c r="P39" s="52"/>
      <c r="Q39" s="52"/>
      <c r="R39" s="51"/>
      <c r="S39" s="52"/>
      <c r="T39" s="243"/>
    </row>
    <row r="40" spans="1:20" x14ac:dyDescent="0.25">
      <c r="A40" s="45"/>
      <c r="B40" s="46"/>
      <c r="C40" s="47"/>
      <c r="D40" s="48"/>
      <c r="E40" s="48"/>
      <c r="F40" s="49"/>
      <c r="G40" s="48"/>
      <c r="H40" s="180"/>
      <c r="I40" s="48"/>
      <c r="J40" s="51"/>
      <c r="K40" s="51"/>
      <c r="L40" s="51"/>
      <c r="M40" s="51"/>
      <c r="N40" s="54"/>
      <c r="O40" s="51"/>
      <c r="P40" s="52"/>
      <c r="Q40" s="52"/>
      <c r="R40" s="51"/>
      <c r="S40" s="52"/>
      <c r="T40" s="243"/>
    </row>
    <row r="41" spans="1:20" x14ac:dyDescent="0.25">
      <c r="A41" s="45"/>
      <c r="B41" s="46"/>
      <c r="C41" s="47"/>
      <c r="D41" s="48"/>
      <c r="E41" s="48"/>
      <c r="F41" s="49"/>
      <c r="G41" s="48"/>
      <c r="H41" s="180"/>
      <c r="I41" s="48"/>
      <c r="J41" s="51"/>
      <c r="K41" s="51"/>
      <c r="L41" s="51"/>
      <c r="M41" s="51"/>
      <c r="N41" s="54"/>
      <c r="O41" s="51"/>
      <c r="P41" s="52"/>
      <c r="Q41" s="52"/>
      <c r="R41" s="51"/>
      <c r="S41" s="52"/>
      <c r="T41" s="243"/>
    </row>
    <row r="42" spans="1:20" x14ac:dyDescent="0.25">
      <c r="A42" s="45"/>
      <c r="B42" s="46"/>
      <c r="C42" s="47"/>
      <c r="D42" s="48"/>
      <c r="E42" s="48"/>
      <c r="F42" s="49"/>
      <c r="G42" s="48"/>
      <c r="H42" s="180"/>
      <c r="I42" s="48"/>
      <c r="J42" s="51"/>
      <c r="K42" s="51"/>
      <c r="L42" s="51"/>
      <c r="M42" s="51"/>
      <c r="N42" s="54"/>
      <c r="O42" s="51"/>
      <c r="P42" s="52"/>
      <c r="Q42" s="52"/>
      <c r="R42" s="51"/>
      <c r="S42" s="52"/>
      <c r="T42" s="243"/>
    </row>
    <row r="43" spans="1:20" x14ac:dyDescent="0.25">
      <c r="A43" s="45"/>
      <c r="B43" s="46"/>
      <c r="C43" s="47"/>
      <c r="D43" s="48"/>
      <c r="E43" s="48"/>
      <c r="F43" s="49"/>
      <c r="G43" s="48"/>
      <c r="H43" s="180"/>
      <c r="I43" s="48"/>
      <c r="J43" s="51"/>
      <c r="K43" s="51"/>
      <c r="L43" s="51"/>
      <c r="M43" s="51"/>
      <c r="N43" s="54"/>
      <c r="O43" s="51"/>
      <c r="P43" s="52"/>
      <c r="Q43" s="52"/>
      <c r="R43" s="51"/>
      <c r="S43" s="52"/>
      <c r="T43" s="243"/>
    </row>
    <row r="44" spans="1:20" x14ac:dyDescent="0.25">
      <c r="A44" s="23"/>
      <c r="B44" s="24"/>
      <c r="C44" s="25"/>
      <c r="D44" s="27"/>
      <c r="E44" s="27"/>
      <c r="F44" s="28"/>
      <c r="G44" s="27"/>
      <c r="H44" s="180"/>
      <c r="I44" s="27"/>
      <c r="J44" s="32"/>
      <c r="K44" s="32"/>
      <c r="L44" s="32"/>
      <c r="M44" s="32"/>
      <c r="N44" s="31"/>
      <c r="O44" s="32"/>
      <c r="P44" s="33"/>
      <c r="Q44" s="33"/>
      <c r="R44" s="32"/>
      <c r="S44" s="33"/>
      <c r="T44" s="5"/>
    </row>
    <row r="45" spans="1:20" x14ac:dyDescent="0.25">
      <c r="A45" s="23"/>
      <c r="B45" s="24"/>
      <c r="C45" s="25"/>
      <c r="D45" s="27"/>
      <c r="E45" s="27"/>
      <c r="F45" s="28"/>
      <c r="G45" s="27"/>
      <c r="H45" s="180"/>
      <c r="I45" s="27"/>
      <c r="J45" s="32"/>
      <c r="K45" s="32"/>
      <c r="L45" s="32"/>
      <c r="M45" s="32"/>
      <c r="N45" s="31"/>
      <c r="O45" s="32"/>
      <c r="P45" s="33"/>
      <c r="Q45" s="33"/>
      <c r="R45" s="32"/>
      <c r="S45" s="33"/>
      <c r="T45" s="5"/>
    </row>
    <row r="46" spans="1:20" x14ac:dyDescent="0.25">
      <c r="A46" s="23"/>
      <c r="B46" s="24"/>
      <c r="C46" s="25"/>
      <c r="D46" s="27"/>
      <c r="E46" s="27"/>
      <c r="F46" s="28"/>
      <c r="G46" s="27"/>
      <c r="H46" s="180"/>
      <c r="I46" s="27"/>
      <c r="J46" s="32"/>
      <c r="K46" s="32"/>
      <c r="L46" s="32"/>
      <c r="M46" s="32"/>
      <c r="N46" s="31"/>
      <c r="O46" s="32"/>
      <c r="P46" s="33"/>
      <c r="Q46" s="33"/>
      <c r="R46" s="32"/>
      <c r="S46" s="33"/>
      <c r="T46" s="5"/>
    </row>
    <row r="47" spans="1:20" x14ac:dyDescent="0.25">
      <c r="A47" s="23"/>
      <c r="B47" s="24"/>
      <c r="C47" s="25"/>
      <c r="D47" s="27"/>
      <c r="E47" s="27"/>
      <c r="F47" s="28"/>
      <c r="G47" s="27"/>
      <c r="H47" s="180"/>
      <c r="I47" s="27"/>
      <c r="J47" s="32"/>
      <c r="K47" s="32"/>
      <c r="L47" s="32"/>
      <c r="M47" s="32"/>
      <c r="N47" s="31"/>
      <c r="O47" s="32"/>
      <c r="P47" s="33"/>
      <c r="Q47" s="33"/>
      <c r="R47" s="32"/>
      <c r="S47" s="33"/>
      <c r="T47" s="5"/>
    </row>
    <row r="48" spans="1:20" x14ac:dyDescent="0.25">
      <c r="A48" s="23"/>
      <c r="B48" s="24"/>
      <c r="C48" s="25"/>
      <c r="D48" s="27"/>
      <c r="E48" s="27"/>
      <c r="F48" s="28"/>
      <c r="G48" s="27"/>
      <c r="H48" s="180"/>
      <c r="I48" s="27"/>
      <c r="J48" s="32"/>
      <c r="K48" s="32"/>
      <c r="L48" s="32"/>
      <c r="M48" s="32"/>
      <c r="N48" s="31"/>
      <c r="O48" s="32"/>
      <c r="P48" s="33"/>
      <c r="Q48" s="33"/>
      <c r="R48" s="32"/>
      <c r="S48" s="33"/>
      <c r="T48" s="5"/>
    </row>
    <row r="49" spans="1:20" x14ac:dyDescent="0.25">
      <c r="A49" s="45"/>
      <c r="B49" s="46"/>
      <c r="C49" s="47"/>
      <c r="D49" s="48"/>
      <c r="E49" s="48"/>
      <c r="F49" s="49"/>
      <c r="G49" s="48"/>
      <c r="H49" s="180"/>
      <c r="I49" s="48"/>
      <c r="J49" s="51"/>
      <c r="K49" s="51"/>
      <c r="L49" s="51"/>
      <c r="M49" s="51"/>
      <c r="N49" s="54"/>
      <c r="O49" s="51"/>
      <c r="P49" s="52"/>
      <c r="Q49" s="52"/>
      <c r="R49" s="51"/>
      <c r="S49" s="52"/>
      <c r="T49" s="243"/>
    </row>
    <row r="50" spans="1:20" x14ac:dyDescent="0.25">
      <c r="A50" s="45"/>
      <c r="B50" s="46"/>
      <c r="C50" s="47"/>
      <c r="D50" s="48"/>
      <c r="E50" s="48"/>
      <c r="F50" s="49"/>
      <c r="G50" s="48"/>
      <c r="H50" s="180"/>
      <c r="I50" s="48"/>
      <c r="J50" s="51"/>
      <c r="K50" s="51"/>
      <c r="L50" s="51"/>
      <c r="M50" s="51"/>
      <c r="N50" s="54"/>
      <c r="O50" s="51"/>
      <c r="P50" s="52"/>
      <c r="Q50" s="52"/>
      <c r="R50" s="51"/>
      <c r="S50" s="52"/>
      <c r="T50" s="243"/>
    </row>
    <row r="51" spans="1:20" x14ac:dyDescent="0.25">
      <c r="A51" s="45"/>
      <c r="B51" s="46"/>
      <c r="C51" s="47"/>
      <c r="D51" s="48"/>
      <c r="E51" s="48"/>
      <c r="F51" s="49"/>
      <c r="G51" s="48"/>
      <c r="H51" s="180"/>
      <c r="I51" s="48"/>
      <c r="J51" s="51"/>
      <c r="K51" s="51"/>
      <c r="L51" s="51"/>
      <c r="M51" s="51"/>
      <c r="N51" s="54"/>
      <c r="O51" s="51"/>
      <c r="P51" s="52"/>
      <c r="Q51" s="52"/>
      <c r="R51" s="51"/>
      <c r="S51" s="52"/>
      <c r="T51" s="243"/>
    </row>
    <row r="52" spans="1:20" x14ac:dyDescent="0.25">
      <c r="A52" s="45"/>
      <c r="B52" s="46"/>
      <c r="C52" s="47"/>
      <c r="D52" s="48"/>
      <c r="E52" s="48"/>
      <c r="F52" s="49"/>
      <c r="G52" s="48"/>
      <c r="H52" s="180"/>
      <c r="I52" s="48"/>
      <c r="J52" s="51"/>
      <c r="K52" s="51"/>
      <c r="L52" s="51"/>
      <c r="M52" s="51"/>
      <c r="N52" s="54"/>
      <c r="O52" s="51"/>
      <c r="P52" s="52"/>
      <c r="Q52" s="52"/>
      <c r="R52" s="51"/>
      <c r="S52" s="52"/>
      <c r="T52" s="243"/>
    </row>
    <row r="53" spans="1:20" x14ac:dyDescent="0.25">
      <c r="A53" s="45"/>
      <c r="B53" s="46"/>
      <c r="C53" s="47"/>
      <c r="D53" s="48"/>
      <c r="E53" s="48"/>
      <c r="F53" s="49"/>
      <c r="G53" s="48"/>
      <c r="H53" s="180"/>
      <c r="I53" s="48"/>
      <c r="J53" s="51"/>
      <c r="K53" s="51"/>
      <c r="L53" s="51"/>
      <c r="M53" s="51"/>
      <c r="N53" s="54"/>
      <c r="O53" s="51"/>
      <c r="P53" s="52"/>
      <c r="Q53" s="52"/>
      <c r="R53" s="51"/>
      <c r="S53" s="52"/>
      <c r="T53" s="243"/>
    </row>
    <row r="54" spans="1:20" x14ac:dyDescent="0.25">
      <c r="A54" s="23"/>
      <c r="B54" s="24"/>
      <c r="C54" s="25"/>
      <c r="D54" s="27"/>
      <c r="E54" s="27"/>
      <c r="F54" s="28"/>
      <c r="G54" s="27"/>
      <c r="H54" s="180"/>
      <c r="I54" s="27"/>
      <c r="J54" s="32"/>
      <c r="K54" s="32"/>
      <c r="L54" s="32"/>
      <c r="M54" s="32"/>
      <c r="N54" s="31"/>
      <c r="O54" s="32"/>
      <c r="P54" s="33"/>
      <c r="Q54" s="33"/>
      <c r="R54" s="32"/>
      <c r="S54" s="33"/>
      <c r="T54" s="5"/>
    </row>
    <row r="55" spans="1:20" x14ac:dyDescent="0.25">
      <c r="A55" s="23"/>
      <c r="B55" s="24"/>
      <c r="C55" s="25"/>
      <c r="D55" s="27"/>
      <c r="E55" s="27"/>
      <c r="F55" s="28"/>
      <c r="G55" s="27"/>
      <c r="H55" s="180"/>
      <c r="I55" s="27"/>
      <c r="J55" s="32"/>
      <c r="K55" s="32"/>
      <c r="L55" s="32"/>
      <c r="M55" s="32"/>
      <c r="N55" s="31"/>
      <c r="O55" s="32"/>
      <c r="P55" s="33"/>
      <c r="Q55" s="33"/>
      <c r="R55" s="32"/>
      <c r="S55" s="33"/>
      <c r="T55" s="5"/>
    </row>
    <row r="56" spans="1:20" x14ac:dyDescent="0.25">
      <c r="A56" s="23"/>
      <c r="B56" s="24"/>
      <c r="C56" s="25"/>
      <c r="D56" s="27"/>
      <c r="E56" s="27"/>
      <c r="F56" s="28"/>
      <c r="G56" s="27"/>
      <c r="H56" s="180"/>
      <c r="I56" s="27"/>
      <c r="J56" s="32"/>
      <c r="K56" s="32"/>
      <c r="L56" s="32"/>
      <c r="M56" s="32"/>
      <c r="N56" s="31"/>
      <c r="O56" s="32"/>
      <c r="P56" s="33"/>
      <c r="Q56" s="33"/>
      <c r="R56" s="32"/>
      <c r="S56" s="33"/>
      <c r="T56" s="5"/>
    </row>
    <row r="57" spans="1:20" x14ac:dyDescent="0.25">
      <c r="A57" s="23"/>
      <c r="B57" s="24"/>
      <c r="C57" s="25"/>
      <c r="D57" s="27"/>
      <c r="E57" s="27"/>
      <c r="F57" s="28"/>
      <c r="G57" s="27"/>
      <c r="H57" s="180"/>
      <c r="I57" s="27"/>
      <c r="J57" s="32"/>
      <c r="K57" s="32"/>
      <c r="L57" s="32"/>
      <c r="M57" s="32"/>
      <c r="N57" s="31"/>
      <c r="O57" s="32"/>
      <c r="P57" s="33"/>
      <c r="Q57" s="33"/>
      <c r="R57" s="32"/>
      <c r="S57" s="33"/>
      <c r="T57" s="5"/>
    </row>
    <row r="58" spans="1:20" x14ac:dyDescent="0.25">
      <c r="A58" s="23"/>
      <c r="B58" s="24"/>
      <c r="C58" s="25"/>
      <c r="D58" s="27"/>
      <c r="E58" s="27"/>
      <c r="F58" s="28"/>
      <c r="G58" s="27"/>
      <c r="H58" s="180"/>
      <c r="I58" s="27"/>
      <c r="J58" s="32"/>
      <c r="K58" s="32"/>
      <c r="L58" s="32"/>
      <c r="M58" s="32"/>
      <c r="N58" s="31"/>
      <c r="O58" s="32"/>
      <c r="P58" s="33"/>
      <c r="Q58" s="33"/>
      <c r="R58" s="32"/>
      <c r="S58" s="33"/>
      <c r="T58" s="5"/>
    </row>
    <row r="59" spans="1:20" x14ac:dyDescent="0.25">
      <c r="A59" s="45"/>
      <c r="B59" s="46"/>
      <c r="C59" s="47"/>
      <c r="D59" s="48"/>
      <c r="E59" s="48"/>
      <c r="F59" s="49"/>
      <c r="G59" s="48"/>
      <c r="H59" s="180"/>
      <c r="I59" s="48"/>
      <c r="J59" s="51"/>
      <c r="K59" s="51"/>
      <c r="L59" s="51"/>
      <c r="M59" s="51"/>
      <c r="N59" s="54"/>
      <c r="O59" s="51"/>
      <c r="P59" s="52"/>
      <c r="Q59" s="52"/>
      <c r="R59" s="51"/>
      <c r="S59" s="52"/>
      <c r="T59" s="243"/>
    </row>
    <row r="60" spans="1:20" x14ac:dyDescent="0.25">
      <c r="A60" s="45"/>
      <c r="B60" s="46"/>
      <c r="C60" s="47"/>
      <c r="D60" s="48"/>
      <c r="E60" s="48"/>
      <c r="F60" s="49"/>
      <c r="G60" s="48"/>
      <c r="H60" s="180"/>
      <c r="I60" s="48"/>
      <c r="J60" s="51"/>
      <c r="K60" s="51"/>
      <c r="L60" s="51"/>
      <c r="M60" s="51"/>
      <c r="N60" s="54"/>
      <c r="O60" s="51"/>
      <c r="P60" s="52"/>
      <c r="Q60" s="52"/>
      <c r="R60" s="51"/>
      <c r="S60" s="52"/>
      <c r="T60" s="243"/>
    </row>
    <row r="61" spans="1:20" x14ac:dyDescent="0.25">
      <c r="A61" s="45"/>
      <c r="B61" s="46"/>
      <c r="C61" s="47"/>
      <c r="D61" s="48"/>
      <c r="E61" s="48"/>
      <c r="F61" s="49"/>
      <c r="G61" s="48"/>
      <c r="H61" s="180"/>
      <c r="I61" s="48"/>
      <c r="J61" s="51"/>
      <c r="K61" s="51"/>
      <c r="L61" s="51"/>
      <c r="M61" s="51"/>
      <c r="N61" s="54"/>
      <c r="O61" s="51"/>
      <c r="P61" s="52"/>
      <c r="Q61" s="52"/>
      <c r="R61" s="51"/>
      <c r="S61" s="52"/>
      <c r="T61" s="243"/>
    </row>
    <row r="62" spans="1:20" x14ac:dyDescent="0.25">
      <c r="A62" s="45"/>
      <c r="B62" s="46"/>
      <c r="C62" s="47"/>
      <c r="D62" s="48"/>
      <c r="E62" s="48"/>
      <c r="F62" s="49"/>
      <c r="G62" s="48"/>
      <c r="H62" s="180"/>
      <c r="I62" s="48"/>
      <c r="J62" s="51"/>
      <c r="K62" s="51"/>
      <c r="L62" s="51"/>
      <c r="M62" s="51"/>
      <c r="N62" s="54"/>
      <c r="O62" s="51"/>
      <c r="P62" s="52"/>
      <c r="Q62" s="52"/>
      <c r="R62" s="51"/>
      <c r="S62" s="52"/>
      <c r="T62" s="243"/>
    </row>
    <row r="63" spans="1:20" x14ac:dyDescent="0.25">
      <c r="A63" s="45"/>
      <c r="B63" s="46"/>
      <c r="C63" s="47"/>
      <c r="D63" s="48"/>
      <c r="E63" s="48"/>
      <c r="F63" s="49"/>
      <c r="G63" s="48"/>
      <c r="H63" s="180"/>
      <c r="I63" s="48"/>
      <c r="J63" s="51"/>
      <c r="K63" s="51"/>
      <c r="L63" s="51"/>
      <c r="M63" s="51"/>
      <c r="N63" s="54"/>
      <c r="O63" s="51"/>
      <c r="P63" s="52"/>
      <c r="Q63" s="52"/>
      <c r="R63" s="51"/>
      <c r="S63" s="52"/>
      <c r="T63" s="243"/>
    </row>
    <row r="64" spans="1:20" x14ac:dyDescent="0.25">
      <c r="A64" s="23"/>
      <c r="B64" s="24"/>
      <c r="C64" s="25"/>
      <c r="D64" s="27"/>
      <c r="E64" s="27"/>
      <c r="F64" s="28"/>
      <c r="G64" s="27"/>
      <c r="H64" s="180"/>
      <c r="I64" s="27"/>
      <c r="J64" s="32"/>
      <c r="K64" s="32"/>
      <c r="L64" s="32"/>
      <c r="M64" s="32"/>
      <c r="N64" s="31"/>
      <c r="O64" s="32"/>
      <c r="P64" s="33"/>
      <c r="Q64" s="33"/>
      <c r="R64" s="32"/>
      <c r="S64" s="33"/>
      <c r="T64" s="5"/>
    </row>
    <row r="65" spans="1:20" x14ac:dyDescent="0.25">
      <c r="A65" s="23"/>
      <c r="B65" s="24"/>
      <c r="C65" s="25"/>
      <c r="D65" s="27"/>
      <c r="E65" s="27"/>
      <c r="F65" s="28"/>
      <c r="G65" s="27"/>
      <c r="H65" s="180"/>
      <c r="I65" s="27"/>
      <c r="J65" s="32"/>
      <c r="K65" s="32"/>
      <c r="L65" s="32"/>
      <c r="M65" s="32"/>
      <c r="N65" s="31"/>
      <c r="O65" s="32"/>
      <c r="P65" s="33"/>
      <c r="Q65" s="33"/>
      <c r="R65" s="32"/>
      <c r="S65" s="33"/>
      <c r="T65" s="5"/>
    </row>
    <row r="66" spans="1:20" x14ac:dyDescent="0.25">
      <c r="A66" s="23"/>
      <c r="B66" s="24"/>
      <c r="C66" s="25"/>
      <c r="D66" s="27"/>
      <c r="E66" s="27"/>
      <c r="F66" s="28"/>
      <c r="G66" s="27"/>
      <c r="H66" s="180"/>
      <c r="I66" s="27"/>
      <c r="J66" s="32"/>
      <c r="K66" s="32"/>
      <c r="L66" s="32"/>
      <c r="M66" s="32"/>
      <c r="N66" s="31"/>
      <c r="O66" s="32"/>
      <c r="P66" s="33"/>
      <c r="Q66" s="33"/>
      <c r="R66" s="32"/>
      <c r="S66" s="33"/>
      <c r="T66" s="5"/>
    </row>
    <row r="67" spans="1:20" x14ac:dyDescent="0.25">
      <c r="A67" s="23"/>
      <c r="B67" s="24"/>
      <c r="C67" s="25"/>
      <c r="D67" s="27"/>
      <c r="E67" s="27"/>
      <c r="F67" s="28"/>
      <c r="G67" s="27"/>
      <c r="H67" s="180"/>
      <c r="I67" s="27"/>
      <c r="J67" s="32"/>
      <c r="K67" s="32"/>
      <c r="L67" s="32"/>
      <c r="M67" s="32"/>
      <c r="N67" s="31"/>
      <c r="O67" s="32"/>
      <c r="P67" s="33"/>
      <c r="Q67" s="33"/>
      <c r="R67" s="32"/>
      <c r="S67" s="33"/>
      <c r="T67" s="5"/>
    </row>
    <row r="68" spans="1:20" x14ac:dyDescent="0.25">
      <c r="A68" s="23"/>
      <c r="B68" s="24"/>
      <c r="C68" s="25"/>
      <c r="D68" s="27"/>
      <c r="E68" s="27"/>
      <c r="F68" s="28"/>
      <c r="G68" s="27"/>
      <c r="H68" s="180"/>
      <c r="I68" s="27"/>
      <c r="J68" s="32"/>
      <c r="K68" s="32"/>
      <c r="L68" s="32"/>
      <c r="M68" s="32"/>
      <c r="N68" s="31"/>
      <c r="O68" s="32"/>
      <c r="P68" s="33"/>
      <c r="Q68" s="33"/>
      <c r="R68" s="32"/>
      <c r="S68" s="33"/>
      <c r="T68" s="5"/>
    </row>
    <row r="69" spans="1:20" x14ac:dyDescent="0.25">
      <c r="A69" s="45"/>
      <c r="B69" s="46"/>
      <c r="C69" s="47"/>
      <c r="D69" s="48"/>
      <c r="E69" s="48"/>
      <c r="F69" s="49"/>
      <c r="G69" s="48"/>
      <c r="H69" s="180"/>
      <c r="I69" s="48"/>
      <c r="J69" s="51"/>
      <c r="K69" s="51"/>
      <c r="L69" s="51"/>
      <c r="M69" s="51"/>
      <c r="N69" s="54"/>
      <c r="O69" s="51"/>
      <c r="P69" s="52"/>
      <c r="Q69" s="52"/>
      <c r="R69" s="51"/>
      <c r="S69" s="52"/>
      <c r="T69" s="243"/>
    </row>
    <row r="70" spans="1:20" x14ac:dyDescent="0.25">
      <c r="A70" s="45"/>
      <c r="B70" s="46"/>
      <c r="C70" s="47"/>
      <c r="D70" s="48"/>
      <c r="E70" s="48"/>
      <c r="F70" s="49"/>
      <c r="G70" s="48"/>
      <c r="H70" s="180"/>
      <c r="I70" s="48"/>
      <c r="J70" s="51"/>
      <c r="K70" s="51"/>
      <c r="L70" s="51"/>
      <c r="M70" s="51"/>
      <c r="N70" s="54"/>
      <c r="O70" s="51"/>
      <c r="P70" s="52"/>
      <c r="Q70" s="52"/>
      <c r="R70" s="51"/>
      <c r="S70" s="52"/>
      <c r="T70" s="243"/>
    </row>
    <row r="71" spans="1:20" x14ac:dyDescent="0.25">
      <c r="A71" s="45"/>
      <c r="B71" s="46"/>
      <c r="C71" s="47"/>
      <c r="D71" s="48"/>
      <c r="E71" s="48"/>
      <c r="F71" s="49"/>
      <c r="G71" s="48"/>
      <c r="H71" s="180"/>
      <c r="I71" s="48"/>
      <c r="J71" s="51"/>
      <c r="K71" s="51"/>
      <c r="L71" s="51"/>
      <c r="M71" s="51"/>
      <c r="N71" s="54"/>
      <c r="O71" s="51"/>
      <c r="P71" s="52"/>
      <c r="Q71" s="52"/>
      <c r="R71" s="51"/>
      <c r="S71" s="52"/>
      <c r="T71" s="243"/>
    </row>
    <row r="72" spans="1:20" x14ac:dyDescent="0.25">
      <c r="A72" s="45"/>
      <c r="B72" s="46"/>
      <c r="C72" s="47"/>
      <c r="D72" s="48"/>
      <c r="E72" s="48"/>
      <c r="F72" s="49"/>
      <c r="G72" s="48"/>
      <c r="H72" s="180"/>
      <c r="I72" s="48"/>
      <c r="J72" s="51"/>
      <c r="K72" s="51"/>
      <c r="L72" s="51"/>
      <c r="M72" s="51"/>
      <c r="N72" s="54"/>
      <c r="O72" s="51"/>
      <c r="P72" s="52"/>
      <c r="Q72" s="52"/>
      <c r="R72" s="51"/>
      <c r="S72" s="52"/>
      <c r="T72" s="243"/>
    </row>
    <row r="73" spans="1:20" x14ac:dyDescent="0.25">
      <c r="A73" s="45"/>
      <c r="B73" s="46"/>
      <c r="C73" s="47"/>
      <c r="D73" s="48"/>
      <c r="E73" s="48"/>
      <c r="F73" s="49"/>
      <c r="G73" s="48"/>
      <c r="H73" s="180"/>
      <c r="I73" s="48"/>
      <c r="J73" s="51"/>
      <c r="K73" s="51"/>
      <c r="L73" s="51"/>
      <c r="M73" s="51"/>
      <c r="N73" s="54"/>
      <c r="O73" s="51"/>
      <c r="P73" s="52"/>
      <c r="Q73" s="52"/>
      <c r="R73" s="51"/>
      <c r="S73" s="52"/>
      <c r="T73" s="243"/>
    </row>
    <row r="74" spans="1:20" x14ac:dyDescent="0.25">
      <c r="A74" s="23"/>
      <c r="B74" s="24"/>
      <c r="C74" s="25"/>
      <c r="D74" s="27"/>
      <c r="E74" s="27"/>
      <c r="F74" s="28"/>
      <c r="G74" s="27"/>
      <c r="H74" s="180"/>
      <c r="I74" s="27"/>
      <c r="J74" s="32"/>
      <c r="K74" s="32"/>
      <c r="L74" s="32"/>
      <c r="M74" s="32"/>
      <c r="N74" s="31"/>
      <c r="O74" s="32"/>
      <c r="P74" s="33"/>
      <c r="Q74" s="33"/>
      <c r="R74" s="32"/>
      <c r="S74" s="33"/>
      <c r="T74" s="5"/>
    </row>
    <row r="75" spans="1:20" x14ac:dyDescent="0.25">
      <c r="A75" s="23"/>
      <c r="B75" s="24"/>
      <c r="C75" s="25"/>
      <c r="D75" s="27"/>
      <c r="E75" s="27"/>
      <c r="F75" s="28"/>
      <c r="G75" s="27"/>
      <c r="H75" s="180"/>
      <c r="I75" s="27"/>
      <c r="J75" s="32"/>
      <c r="K75" s="32"/>
      <c r="L75" s="32"/>
      <c r="M75" s="32"/>
      <c r="N75" s="31"/>
      <c r="O75" s="32"/>
      <c r="P75" s="33"/>
      <c r="Q75" s="33"/>
      <c r="R75" s="32"/>
      <c r="S75" s="33"/>
      <c r="T75" s="5"/>
    </row>
    <row r="76" spans="1:20" x14ac:dyDescent="0.25">
      <c r="A76" s="23"/>
      <c r="B76" s="24"/>
      <c r="C76" s="25"/>
      <c r="D76" s="27"/>
      <c r="E76" s="27"/>
      <c r="F76" s="28"/>
      <c r="G76" s="27"/>
      <c r="H76" s="180"/>
      <c r="I76" s="27"/>
      <c r="J76" s="32"/>
      <c r="K76" s="32"/>
      <c r="L76" s="32"/>
      <c r="M76" s="32"/>
      <c r="N76" s="31"/>
      <c r="O76" s="32"/>
      <c r="P76" s="33"/>
      <c r="Q76" s="33"/>
      <c r="R76" s="32"/>
      <c r="S76" s="33"/>
      <c r="T76" s="5"/>
    </row>
    <row r="77" spans="1:20" x14ac:dyDescent="0.25">
      <c r="A77" s="23"/>
      <c r="B77" s="24"/>
      <c r="C77" s="25"/>
      <c r="D77" s="27"/>
      <c r="E77" s="27"/>
      <c r="F77" s="28"/>
      <c r="G77" s="27"/>
      <c r="H77" s="180"/>
      <c r="I77" s="27"/>
      <c r="J77" s="32"/>
      <c r="K77" s="32"/>
      <c r="L77" s="32"/>
      <c r="M77" s="32"/>
      <c r="N77" s="31"/>
      <c r="O77" s="32"/>
      <c r="P77" s="33"/>
      <c r="Q77" s="33"/>
      <c r="R77" s="32"/>
      <c r="S77" s="33"/>
      <c r="T77" s="5"/>
    </row>
    <row r="78" spans="1:20" x14ac:dyDescent="0.25">
      <c r="A78" s="23"/>
      <c r="B78" s="24"/>
      <c r="C78" s="25"/>
      <c r="D78" s="27"/>
      <c r="E78" s="27"/>
      <c r="F78" s="28"/>
      <c r="G78" s="27"/>
      <c r="H78" s="180"/>
      <c r="I78" s="27"/>
      <c r="J78" s="32"/>
      <c r="K78" s="32"/>
      <c r="L78" s="32"/>
      <c r="M78" s="32"/>
      <c r="N78" s="31"/>
      <c r="O78" s="32"/>
      <c r="P78" s="33"/>
      <c r="Q78" s="33"/>
      <c r="R78" s="32"/>
      <c r="S78" s="33"/>
      <c r="T78" s="5"/>
    </row>
    <row r="79" spans="1:20" x14ac:dyDescent="0.25">
      <c r="A79" s="45"/>
      <c r="B79" s="46"/>
      <c r="C79" s="47"/>
      <c r="D79" s="48"/>
      <c r="E79" s="48"/>
      <c r="F79" s="49"/>
      <c r="G79" s="48"/>
      <c r="H79" s="180"/>
      <c r="I79" s="48"/>
      <c r="J79" s="51"/>
      <c r="K79" s="51"/>
      <c r="L79" s="51"/>
      <c r="M79" s="51"/>
      <c r="N79" s="54"/>
      <c r="O79" s="51"/>
      <c r="P79" s="52"/>
      <c r="Q79" s="52"/>
      <c r="R79" s="51"/>
      <c r="S79" s="52"/>
      <c r="T79" s="243"/>
    </row>
    <row r="80" spans="1:20" x14ac:dyDescent="0.25">
      <c r="A80" s="45"/>
      <c r="B80" s="46"/>
      <c r="C80" s="47"/>
      <c r="D80" s="48"/>
      <c r="E80" s="48"/>
      <c r="F80" s="49"/>
      <c r="G80" s="48"/>
      <c r="H80" s="180"/>
      <c r="I80" s="48"/>
      <c r="J80" s="51"/>
      <c r="K80" s="51"/>
      <c r="L80" s="51"/>
      <c r="M80" s="51"/>
      <c r="N80" s="54"/>
      <c r="O80" s="51"/>
      <c r="P80" s="52"/>
      <c r="Q80" s="52"/>
      <c r="R80" s="51"/>
      <c r="S80" s="52"/>
      <c r="T80" s="243"/>
    </row>
    <row r="81" spans="1:20" x14ac:dyDescent="0.25">
      <c r="A81" s="45"/>
      <c r="B81" s="46"/>
      <c r="C81" s="47"/>
      <c r="D81" s="48"/>
      <c r="E81" s="48"/>
      <c r="F81" s="49"/>
      <c r="G81" s="48"/>
      <c r="H81" s="180"/>
      <c r="I81" s="48"/>
      <c r="J81" s="51"/>
      <c r="K81" s="51"/>
      <c r="L81" s="51"/>
      <c r="M81" s="51"/>
      <c r="N81" s="54"/>
      <c r="O81" s="51"/>
      <c r="P81" s="52"/>
      <c r="Q81" s="52"/>
      <c r="R81" s="51"/>
      <c r="S81" s="52"/>
      <c r="T81" s="243"/>
    </row>
    <row r="82" spans="1:20" x14ac:dyDescent="0.25">
      <c r="A82" s="45"/>
      <c r="B82" s="46"/>
      <c r="C82" s="47"/>
      <c r="D82" s="48"/>
      <c r="E82" s="48"/>
      <c r="F82" s="49"/>
      <c r="G82" s="48"/>
      <c r="H82" s="180"/>
      <c r="I82" s="48"/>
      <c r="J82" s="51"/>
      <c r="K82" s="51"/>
      <c r="L82" s="51"/>
      <c r="M82" s="51"/>
      <c r="N82" s="54"/>
      <c r="O82" s="51"/>
      <c r="P82" s="52"/>
      <c r="Q82" s="52"/>
      <c r="R82" s="51"/>
      <c r="S82" s="52"/>
      <c r="T82" s="243"/>
    </row>
    <row r="83" spans="1:20" x14ac:dyDescent="0.25">
      <c r="A83" s="45"/>
      <c r="B83" s="46"/>
      <c r="C83" s="47"/>
      <c r="D83" s="48"/>
      <c r="E83" s="48"/>
      <c r="F83" s="49"/>
      <c r="G83" s="48"/>
      <c r="H83" s="180"/>
      <c r="I83" s="48"/>
      <c r="J83" s="51"/>
      <c r="K83" s="51"/>
      <c r="L83" s="51"/>
      <c r="M83" s="51"/>
      <c r="N83" s="54"/>
      <c r="O83" s="51"/>
      <c r="P83" s="52"/>
      <c r="Q83" s="52"/>
      <c r="R83" s="51"/>
      <c r="S83" s="52"/>
      <c r="T83" s="243"/>
    </row>
    <row r="84" spans="1:20" x14ac:dyDescent="0.25">
      <c r="A84" s="23"/>
      <c r="B84" s="24"/>
      <c r="C84" s="25"/>
      <c r="D84" s="27"/>
      <c r="E84" s="27"/>
      <c r="F84" s="28"/>
      <c r="G84" s="27"/>
      <c r="H84" s="180"/>
      <c r="I84" s="27"/>
      <c r="J84" s="32"/>
      <c r="K84" s="32"/>
      <c r="L84" s="32"/>
      <c r="M84" s="32"/>
      <c r="N84" s="31"/>
      <c r="O84" s="32"/>
      <c r="P84" s="33"/>
      <c r="Q84" s="33"/>
      <c r="R84" s="32"/>
      <c r="S84" s="33"/>
      <c r="T84" s="5"/>
    </row>
    <row r="85" spans="1:20" x14ac:dyDescent="0.25">
      <c r="A85" s="23"/>
      <c r="B85" s="24"/>
      <c r="C85" s="25"/>
      <c r="D85" s="27"/>
      <c r="E85" s="27"/>
      <c r="F85" s="28"/>
      <c r="G85" s="27"/>
      <c r="H85" s="180"/>
      <c r="I85" s="27"/>
      <c r="J85" s="32"/>
      <c r="K85" s="32"/>
      <c r="L85" s="32"/>
      <c r="M85" s="32"/>
      <c r="N85" s="31"/>
      <c r="O85" s="32"/>
      <c r="P85" s="33"/>
      <c r="Q85" s="33"/>
      <c r="R85" s="32"/>
      <c r="S85" s="33"/>
      <c r="T85" s="5"/>
    </row>
    <row r="86" spans="1:20" x14ac:dyDescent="0.25">
      <c r="A86" s="23"/>
      <c r="B86" s="24"/>
      <c r="C86" s="25"/>
      <c r="D86" s="27"/>
      <c r="E86" s="27"/>
      <c r="F86" s="28"/>
      <c r="G86" s="27"/>
      <c r="H86" s="180"/>
      <c r="I86" s="27"/>
      <c r="J86" s="32"/>
      <c r="K86" s="32"/>
      <c r="L86" s="32"/>
      <c r="M86" s="32"/>
      <c r="N86" s="31"/>
      <c r="O86" s="32"/>
      <c r="P86" s="33"/>
      <c r="Q86" s="33"/>
      <c r="R86" s="32"/>
      <c r="S86" s="33"/>
      <c r="T86" s="5"/>
    </row>
    <row r="87" spans="1:20" x14ac:dyDescent="0.25">
      <c r="A87" s="23"/>
      <c r="B87" s="24"/>
      <c r="C87" s="25"/>
      <c r="D87" s="27"/>
      <c r="E87" s="27"/>
      <c r="F87" s="28"/>
      <c r="G87" s="27"/>
      <c r="H87" s="180"/>
      <c r="I87" s="27"/>
      <c r="J87" s="32"/>
      <c r="K87" s="32"/>
      <c r="L87" s="32"/>
      <c r="M87" s="32"/>
      <c r="N87" s="31"/>
      <c r="O87" s="32"/>
      <c r="P87" s="33"/>
      <c r="Q87" s="33"/>
      <c r="R87" s="32"/>
      <c r="S87" s="33"/>
      <c r="T87" s="5"/>
    </row>
    <row r="88" spans="1:20" x14ac:dyDescent="0.25">
      <c r="A88" s="23"/>
      <c r="B88" s="24"/>
      <c r="C88" s="25"/>
      <c r="D88" s="27"/>
      <c r="E88" s="27"/>
      <c r="F88" s="28"/>
      <c r="G88" s="27"/>
      <c r="H88" s="180"/>
      <c r="I88" s="27"/>
      <c r="J88" s="32"/>
      <c r="K88" s="32"/>
      <c r="L88" s="32"/>
      <c r="M88" s="32"/>
      <c r="N88" s="31"/>
      <c r="O88" s="32"/>
      <c r="P88" s="33"/>
      <c r="Q88" s="33"/>
      <c r="R88" s="32"/>
      <c r="S88" s="33"/>
      <c r="T88" s="5"/>
    </row>
    <row r="89" spans="1:20" x14ac:dyDescent="0.25">
      <c r="A89" s="45"/>
      <c r="B89" s="46"/>
      <c r="C89" s="47"/>
      <c r="D89" s="48"/>
      <c r="E89" s="48"/>
      <c r="F89" s="49"/>
      <c r="G89" s="48"/>
      <c r="H89" s="180"/>
      <c r="I89" s="48"/>
      <c r="J89" s="51"/>
      <c r="K89" s="51"/>
      <c r="L89" s="51"/>
      <c r="M89" s="51"/>
      <c r="N89" s="54"/>
      <c r="O89" s="51"/>
      <c r="P89" s="52"/>
      <c r="Q89" s="52"/>
      <c r="R89" s="51"/>
      <c r="S89" s="52"/>
      <c r="T89" s="243"/>
    </row>
    <row r="90" spans="1:20" x14ac:dyDescent="0.25">
      <c r="A90" s="45"/>
      <c r="B90" s="46"/>
      <c r="C90" s="47"/>
      <c r="D90" s="48"/>
      <c r="E90" s="48"/>
      <c r="F90" s="49"/>
      <c r="G90" s="48"/>
      <c r="H90" s="180"/>
      <c r="I90" s="48"/>
      <c r="J90" s="51"/>
      <c r="K90" s="51"/>
      <c r="L90" s="51"/>
      <c r="M90" s="51"/>
      <c r="N90" s="54"/>
      <c r="O90" s="51"/>
      <c r="P90" s="52"/>
      <c r="Q90" s="52"/>
      <c r="R90" s="51"/>
      <c r="S90" s="52"/>
      <c r="T90" s="243"/>
    </row>
    <row r="91" spans="1:20" x14ac:dyDescent="0.25">
      <c r="A91" s="45"/>
      <c r="B91" s="46"/>
      <c r="C91" s="47"/>
      <c r="D91" s="48"/>
      <c r="E91" s="48"/>
      <c r="F91" s="49"/>
      <c r="G91" s="48"/>
      <c r="H91" s="180"/>
      <c r="I91" s="48"/>
      <c r="J91" s="51"/>
      <c r="K91" s="51"/>
      <c r="L91" s="51"/>
      <c r="M91" s="51"/>
      <c r="N91" s="54"/>
      <c r="O91" s="51"/>
      <c r="P91" s="52"/>
      <c r="Q91" s="52"/>
      <c r="R91" s="51"/>
      <c r="S91" s="52"/>
      <c r="T91" s="243"/>
    </row>
    <row r="92" spans="1:20" x14ac:dyDescent="0.25">
      <c r="A92" s="45"/>
      <c r="B92" s="46"/>
      <c r="C92" s="47"/>
      <c r="D92" s="48"/>
      <c r="E92" s="48"/>
      <c r="F92" s="49"/>
      <c r="G92" s="48"/>
      <c r="H92" s="180"/>
      <c r="I92" s="48"/>
      <c r="J92" s="51"/>
      <c r="K92" s="51"/>
      <c r="L92" s="51"/>
      <c r="M92" s="51"/>
      <c r="N92" s="54"/>
      <c r="O92" s="51"/>
      <c r="P92" s="52"/>
      <c r="Q92" s="52"/>
      <c r="R92" s="51"/>
      <c r="S92" s="52"/>
      <c r="T92" s="243"/>
    </row>
    <row r="93" spans="1:20" x14ac:dyDescent="0.25">
      <c r="A93" s="45"/>
      <c r="B93" s="46"/>
      <c r="C93" s="47"/>
      <c r="D93" s="48"/>
      <c r="E93" s="48"/>
      <c r="F93" s="49"/>
      <c r="G93" s="48"/>
      <c r="H93" s="180"/>
      <c r="I93" s="48"/>
      <c r="J93" s="51"/>
      <c r="K93" s="51"/>
      <c r="L93" s="51"/>
      <c r="M93" s="51"/>
      <c r="N93" s="54"/>
      <c r="O93" s="51"/>
      <c r="P93" s="52"/>
      <c r="Q93" s="52"/>
      <c r="R93" s="51"/>
      <c r="S93" s="52"/>
      <c r="T93" s="243"/>
    </row>
    <row r="94" spans="1:20" x14ac:dyDescent="0.25">
      <c r="A94" s="23"/>
      <c r="B94" s="24"/>
      <c r="C94" s="25"/>
      <c r="D94" s="27"/>
      <c r="E94" s="27"/>
      <c r="F94" s="28"/>
      <c r="G94" s="27"/>
      <c r="H94" s="180"/>
      <c r="I94" s="27"/>
      <c r="J94" s="32"/>
      <c r="K94" s="32"/>
      <c r="L94" s="32"/>
      <c r="M94" s="32"/>
      <c r="N94" s="31"/>
      <c r="O94" s="32"/>
      <c r="P94" s="33"/>
      <c r="Q94" s="33"/>
      <c r="R94" s="32"/>
      <c r="S94" s="33"/>
      <c r="T94" s="5"/>
    </row>
    <row r="95" spans="1:20" x14ac:dyDescent="0.25">
      <c r="A95" s="23"/>
      <c r="B95" s="24"/>
      <c r="C95" s="25"/>
      <c r="D95" s="27"/>
      <c r="E95" s="27"/>
      <c r="F95" s="28"/>
      <c r="G95" s="27"/>
      <c r="H95" s="180"/>
      <c r="I95" s="27"/>
      <c r="J95" s="32"/>
      <c r="K95" s="32"/>
      <c r="L95" s="32"/>
      <c r="M95" s="32"/>
      <c r="N95" s="31"/>
      <c r="O95" s="32"/>
      <c r="P95" s="33"/>
      <c r="Q95" s="33"/>
      <c r="R95" s="32"/>
      <c r="S95" s="33"/>
      <c r="T95" s="5"/>
    </row>
    <row r="96" spans="1:20" x14ac:dyDescent="0.25">
      <c r="A96" s="23"/>
      <c r="B96" s="24"/>
      <c r="C96" s="25"/>
      <c r="D96" s="27"/>
      <c r="E96" s="27"/>
      <c r="F96" s="28"/>
      <c r="G96" s="27"/>
      <c r="H96" s="180"/>
      <c r="I96" s="27"/>
      <c r="J96" s="32"/>
      <c r="K96" s="32"/>
      <c r="L96" s="32"/>
      <c r="M96" s="32"/>
      <c r="N96" s="31"/>
      <c r="O96" s="32"/>
      <c r="P96" s="33"/>
      <c r="Q96" s="33"/>
      <c r="R96" s="32"/>
      <c r="S96" s="33"/>
      <c r="T96" s="5"/>
    </row>
    <row r="97" spans="1:20" x14ac:dyDescent="0.25">
      <c r="A97" s="23"/>
      <c r="B97" s="24"/>
      <c r="C97" s="25"/>
      <c r="D97" s="27"/>
      <c r="E97" s="27"/>
      <c r="F97" s="28"/>
      <c r="G97" s="27"/>
      <c r="H97" s="180"/>
      <c r="I97" s="27"/>
      <c r="J97" s="32"/>
      <c r="K97" s="32"/>
      <c r="L97" s="32"/>
      <c r="M97" s="32"/>
      <c r="N97" s="31"/>
      <c r="O97" s="32"/>
      <c r="P97" s="33"/>
      <c r="Q97" s="33"/>
      <c r="R97" s="32"/>
      <c r="S97" s="33"/>
      <c r="T97" s="5"/>
    </row>
    <row r="98" spans="1:20" x14ac:dyDescent="0.25">
      <c r="A98" s="23"/>
      <c r="B98" s="24"/>
      <c r="C98" s="25"/>
      <c r="D98" s="27"/>
      <c r="E98" s="27"/>
      <c r="F98" s="28"/>
      <c r="G98" s="27"/>
      <c r="H98" s="180"/>
      <c r="I98" s="27"/>
      <c r="J98" s="32"/>
      <c r="K98" s="32"/>
      <c r="L98" s="32"/>
      <c r="M98" s="32"/>
      <c r="N98" s="31"/>
      <c r="O98" s="32"/>
      <c r="P98" s="33"/>
      <c r="Q98" s="33"/>
      <c r="R98" s="32"/>
      <c r="S98" s="33"/>
      <c r="T98" s="5"/>
    </row>
    <row r="99" spans="1:20" x14ac:dyDescent="0.25">
      <c r="A99" s="45"/>
      <c r="B99" s="46"/>
      <c r="C99" s="47"/>
      <c r="D99" s="48"/>
      <c r="E99" s="48"/>
      <c r="F99" s="49"/>
      <c r="G99" s="48"/>
      <c r="H99" s="180"/>
      <c r="I99" s="48"/>
      <c r="J99" s="51"/>
      <c r="K99" s="51"/>
      <c r="L99" s="51"/>
      <c r="M99" s="51"/>
      <c r="N99" s="54"/>
      <c r="O99" s="51"/>
      <c r="P99" s="52"/>
      <c r="Q99" s="52"/>
      <c r="R99" s="51"/>
      <c r="S99" s="52"/>
      <c r="T99" s="243"/>
    </row>
    <row r="100" spans="1:20" x14ac:dyDescent="0.25">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5">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5">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5">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5">
      <c r="A104" s="23"/>
      <c r="B104" s="24"/>
      <c r="C104" s="25"/>
      <c r="D104" s="27"/>
      <c r="E104" s="27"/>
      <c r="F104" s="28"/>
      <c r="G104" s="27"/>
      <c r="H104" s="180"/>
      <c r="I104" s="27"/>
      <c r="J104" s="32"/>
      <c r="K104" s="32"/>
      <c r="L104" s="32"/>
      <c r="M104" s="32"/>
      <c r="N104" s="31"/>
      <c r="O104" s="32"/>
      <c r="P104" s="33"/>
      <c r="Q104" s="33"/>
      <c r="R104" s="32"/>
      <c r="S104" s="33"/>
      <c r="T104" s="5"/>
    </row>
    <row r="105" spans="1:20" x14ac:dyDescent="0.25">
      <c r="A105" s="23"/>
      <c r="B105" s="24"/>
      <c r="C105" s="25"/>
      <c r="D105" s="27"/>
      <c r="E105" s="27"/>
      <c r="F105" s="28"/>
      <c r="G105" s="27"/>
      <c r="H105" s="180"/>
      <c r="I105" s="27"/>
      <c r="J105" s="32"/>
      <c r="K105" s="32"/>
      <c r="L105" s="32"/>
      <c r="M105" s="32"/>
      <c r="N105" s="31"/>
      <c r="O105" s="32"/>
      <c r="P105" s="33"/>
      <c r="Q105" s="33"/>
      <c r="R105" s="32"/>
      <c r="S105" s="33"/>
      <c r="T105" s="5"/>
    </row>
    <row r="106" spans="1:20" x14ac:dyDescent="0.25">
      <c r="A106" s="23"/>
      <c r="B106" s="24"/>
      <c r="C106" s="25"/>
      <c r="D106" s="27"/>
      <c r="E106" s="27"/>
      <c r="F106" s="28"/>
      <c r="G106" s="27"/>
      <c r="H106" s="180"/>
      <c r="I106" s="27"/>
      <c r="J106" s="32"/>
      <c r="K106" s="32"/>
      <c r="L106" s="32"/>
      <c r="M106" s="32"/>
      <c r="N106" s="31"/>
      <c r="O106" s="32"/>
      <c r="P106" s="33"/>
      <c r="Q106" s="33"/>
      <c r="R106" s="32"/>
      <c r="S106" s="33"/>
      <c r="T106" s="5"/>
    </row>
    <row r="107" spans="1:20" x14ac:dyDescent="0.25">
      <c r="A107" s="23"/>
      <c r="B107" s="24"/>
      <c r="C107" s="25"/>
      <c r="D107" s="27"/>
      <c r="E107" s="27"/>
      <c r="F107" s="28"/>
      <c r="G107" s="27"/>
      <c r="H107" s="180"/>
      <c r="I107" s="27"/>
      <c r="J107" s="32"/>
      <c r="K107" s="32"/>
      <c r="L107" s="32"/>
      <c r="M107" s="32"/>
      <c r="N107" s="31"/>
      <c r="O107" s="32"/>
      <c r="P107" s="33"/>
      <c r="Q107" s="33"/>
      <c r="R107" s="32"/>
      <c r="S107" s="33"/>
      <c r="T107" s="5"/>
    </row>
    <row r="108" spans="1:20" x14ac:dyDescent="0.25">
      <c r="A108" s="23"/>
      <c r="B108" s="24"/>
      <c r="C108" s="25"/>
      <c r="D108" s="27"/>
      <c r="E108" s="27"/>
      <c r="F108" s="28"/>
      <c r="G108" s="27"/>
      <c r="H108" s="180"/>
      <c r="I108" s="27"/>
      <c r="J108" s="32"/>
      <c r="K108" s="32"/>
      <c r="L108" s="32"/>
      <c r="M108" s="32"/>
      <c r="N108" s="31"/>
      <c r="O108" s="32"/>
      <c r="P108" s="33"/>
      <c r="Q108" s="33"/>
      <c r="R108" s="32"/>
      <c r="S108" s="33"/>
      <c r="T108" s="5"/>
    </row>
    <row r="109" spans="1:20" x14ac:dyDescent="0.25">
      <c r="A109" s="23"/>
      <c r="B109" s="24"/>
      <c r="C109" s="25"/>
      <c r="D109" s="27"/>
      <c r="E109" s="27"/>
      <c r="F109" s="28"/>
      <c r="G109" s="27"/>
      <c r="H109" s="180"/>
      <c r="I109" s="27"/>
      <c r="J109" s="32"/>
      <c r="K109" s="32"/>
      <c r="L109" s="32"/>
      <c r="M109" s="32"/>
      <c r="N109" s="31"/>
      <c r="O109" s="32"/>
      <c r="P109" s="33"/>
      <c r="Q109" s="33"/>
      <c r="R109" s="32"/>
      <c r="S109" s="33"/>
      <c r="T109" s="5"/>
    </row>
    <row r="110" spans="1:20" x14ac:dyDescent="0.25">
      <c r="A110" s="23"/>
      <c r="B110" s="24"/>
      <c r="C110" s="25"/>
      <c r="D110" s="27"/>
      <c r="E110" s="27"/>
      <c r="F110" s="28"/>
      <c r="G110" s="27"/>
      <c r="H110" s="180"/>
      <c r="I110" s="27"/>
      <c r="J110" s="32"/>
      <c r="K110" s="32"/>
      <c r="L110" s="32"/>
      <c r="M110" s="32"/>
      <c r="N110" s="31"/>
      <c r="O110" s="32"/>
      <c r="P110" s="33"/>
      <c r="Q110" s="33"/>
      <c r="R110" s="32"/>
      <c r="S110" s="33"/>
      <c r="T110" s="5"/>
    </row>
    <row r="111" spans="1:20" x14ac:dyDescent="0.25">
      <c r="A111" s="23"/>
      <c r="B111" s="24"/>
      <c r="C111" s="25"/>
      <c r="D111" s="27"/>
      <c r="E111" s="27"/>
      <c r="F111" s="28"/>
      <c r="G111" s="27"/>
      <c r="H111" s="180"/>
      <c r="I111" s="27"/>
      <c r="J111" s="32"/>
      <c r="K111" s="32"/>
      <c r="L111" s="32"/>
      <c r="M111" s="32"/>
      <c r="N111" s="31"/>
      <c r="O111" s="32"/>
      <c r="P111" s="33"/>
      <c r="Q111" s="33"/>
      <c r="R111" s="32"/>
      <c r="S111" s="33"/>
      <c r="T111" s="5"/>
    </row>
    <row r="112" spans="1:20" x14ac:dyDescent="0.25">
      <c r="A112" s="23"/>
      <c r="B112" s="24"/>
      <c r="C112" s="25"/>
      <c r="D112" s="27"/>
      <c r="E112" s="27"/>
      <c r="F112" s="28"/>
      <c r="G112" s="27"/>
      <c r="H112" s="180"/>
      <c r="I112" s="27"/>
      <c r="J112" s="32"/>
      <c r="K112" s="32"/>
      <c r="L112" s="32"/>
      <c r="M112" s="32"/>
      <c r="N112" s="31"/>
      <c r="O112" s="32"/>
      <c r="P112" s="33"/>
      <c r="Q112" s="33"/>
      <c r="R112" s="32"/>
      <c r="S112" s="33"/>
      <c r="T112" s="5"/>
    </row>
    <row r="113" spans="1:20" x14ac:dyDescent="0.25">
      <c r="A113" s="23"/>
      <c r="B113" s="24"/>
      <c r="C113" s="25"/>
      <c r="D113" s="27"/>
      <c r="E113" s="27"/>
      <c r="F113" s="28"/>
      <c r="G113" s="27"/>
      <c r="H113" s="180"/>
      <c r="I113" s="27"/>
      <c r="J113" s="32"/>
      <c r="K113" s="32"/>
      <c r="L113" s="32"/>
      <c r="M113" s="32"/>
      <c r="N113" s="31"/>
      <c r="O113" s="32"/>
      <c r="P113" s="33"/>
      <c r="Q113" s="33"/>
      <c r="R113" s="32"/>
      <c r="S113" s="33"/>
      <c r="T113" s="5"/>
    </row>
    <row r="114" spans="1:20" x14ac:dyDescent="0.25">
      <c r="A114" s="23"/>
      <c r="B114" s="24"/>
      <c r="C114" s="25"/>
      <c r="D114" s="27"/>
      <c r="E114" s="27"/>
      <c r="F114" s="28"/>
      <c r="G114" s="27"/>
      <c r="H114" s="180"/>
      <c r="I114" s="27"/>
      <c r="J114" s="32"/>
      <c r="K114" s="32"/>
      <c r="L114" s="32"/>
      <c r="M114" s="32"/>
      <c r="N114" s="31"/>
      <c r="O114" s="32"/>
      <c r="P114" s="33"/>
      <c r="Q114" s="33"/>
      <c r="R114" s="32"/>
      <c r="S114" s="33"/>
      <c r="T114" s="5"/>
    </row>
    <row r="115" spans="1:20" x14ac:dyDescent="0.25">
      <c r="A115" s="23"/>
      <c r="B115" s="24"/>
      <c r="C115" s="25"/>
      <c r="D115" s="27"/>
      <c r="E115" s="27"/>
      <c r="F115" s="28"/>
      <c r="G115" s="27"/>
      <c r="H115" s="180"/>
      <c r="I115" s="27"/>
      <c r="J115" s="32"/>
      <c r="K115" s="32"/>
      <c r="L115" s="32"/>
      <c r="M115" s="32"/>
      <c r="N115" s="31"/>
      <c r="O115" s="32"/>
      <c r="P115" s="33"/>
      <c r="Q115" s="33"/>
      <c r="R115" s="32"/>
      <c r="S115" s="33"/>
      <c r="T115" s="5"/>
    </row>
    <row r="116" spans="1:20" x14ac:dyDescent="0.25">
      <c r="A116" s="23"/>
      <c r="B116" s="24"/>
      <c r="C116" s="25"/>
      <c r="D116" s="27"/>
      <c r="E116" s="27"/>
      <c r="F116" s="28"/>
      <c r="G116" s="27"/>
      <c r="H116" s="180"/>
      <c r="I116" s="27"/>
      <c r="J116" s="32"/>
      <c r="K116" s="32"/>
      <c r="L116" s="32"/>
      <c r="M116" s="32"/>
      <c r="N116" s="31"/>
      <c r="O116" s="32"/>
      <c r="P116" s="33"/>
      <c r="Q116" s="33"/>
      <c r="R116" s="32"/>
      <c r="S116" s="33"/>
      <c r="T116" s="5"/>
    </row>
    <row r="117" spans="1:20" x14ac:dyDescent="0.25">
      <c r="A117" s="23"/>
      <c r="B117" s="24"/>
      <c r="C117" s="25"/>
      <c r="D117" s="27"/>
      <c r="E117" s="27"/>
      <c r="F117" s="28"/>
      <c r="G117" s="27"/>
      <c r="H117" s="180"/>
      <c r="I117" s="27"/>
      <c r="J117" s="32"/>
      <c r="K117" s="32"/>
      <c r="L117" s="32"/>
      <c r="M117" s="32"/>
      <c r="N117" s="31"/>
      <c r="O117" s="32"/>
      <c r="P117" s="33"/>
      <c r="Q117" s="33"/>
      <c r="R117" s="32"/>
      <c r="S117" s="33"/>
      <c r="T117" s="5"/>
    </row>
    <row r="118" spans="1:20" x14ac:dyDescent="0.25">
      <c r="A118" s="23"/>
      <c r="B118" s="24"/>
      <c r="C118" s="25"/>
      <c r="D118" s="27"/>
      <c r="E118" s="27"/>
      <c r="F118" s="28"/>
      <c r="G118" s="27"/>
      <c r="H118" s="180"/>
      <c r="I118" s="27"/>
      <c r="J118" s="32"/>
      <c r="K118" s="32"/>
      <c r="L118" s="32"/>
      <c r="M118" s="32"/>
      <c r="N118" s="31"/>
      <c r="O118" s="32"/>
      <c r="P118" s="33"/>
      <c r="Q118" s="33"/>
      <c r="R118" s="32"/>
      <c r="S118" s="33"/>
      <c r="T118" s="5"/>
    </row>
    <row r="119" spans="1:20" x14ac:dyDescent="0.25">
      <c r="A119" s="23"/>
      <c r="B119" s="24"/>
      <c r="C119" s="25"/>
      <c r="D119" s="27"/>
      <c r="E119" s="27"/>
      <c r="F119" s="28"/>
      <c r="G119" s="27"/>
      <c r="H119" s="180"/>
      <c r="I119" s="27"/>
      <c r="J119" s="32"/>
      <c r="K119" s="32"/>
      <c r="L119" s="32"/>
      <c r="M119" s="32"/>
      <c r="N119" s="31"/>
      <c r="O119" s="32"/>
      <c r="P119" s="33"/>
      <c r="Q119" s="33"/>
      <c r="R119" s="32"/>
      <c r="S119" s="33"/>
      <c r="T119" s="5"/>
    </row>
    <row r="120" spans="1:20" x14ac:dyDescent="0.25">
      <c r="A120" s="23"/>
      <c r="B120" s="24"/>
      <c r="C120" s="25"/>
      <c r="D120" s="27"/>
      <c r="E120" s="27"/>
      <c r="F120" s="28"/>
      <c r="G120" s="27"/>
      <c r="H120" s="180"/>
      <c r="I120" s="27"/>
      <c r="J120" s="32"/>
      <c r="K120" s="32"/>
      <c r="L120" s="32"/>
      <c r="M120" s="32"/>
      <c r="N120" s="31"/>
      <c r="O120" s="32"/>
      <c r="P120" s="33"/>
      <c r="Q120" s="33"/>
      <c r="R120" s="32"/>
      <c r="S120" s="33"/>
      <c r="T120" s="5"/>
    </row>
    <row r="121" spans="1:20" x14ac:dyDescent="0.25">
      <c r="A121" s="23"/>
      <c r="B121" s="24"/>
      <c r="C121" s="25"/>
      <c r="D121" s="27"/>
      <c r="E121" s="27"/>
      <c r="F121" s="28"/>
      <c r="G121" s="27"/>
      <c r="H121" s="180"/>
      <c r="I121" s="27"/>
      <c r="J121" s="32"/>
      <c r="K121" s="32"/>
      <c r="L121" s="32"/>
      <c r="M121" s="32"/>
      <c r="N121" s="31"/>
      <c r="O121" s="32"/>
      <c r="P121" s="33"/>
      <c r="Q121" s="33"/>
      <c r="R121" s="32"/>
      <c r="S121" s="33"/>
      <c r="T121" s="5"/>
    </row>
    <row r="122" spans="1:20" x14ac:dyDescent="0.25">
      <c r="A122" s="23"/>
      <c r="B122" s="24"/>
      <c r="C122" s="25"/>
      <c r="D122" s="27"/>
      <c r="E122" s="27"/>
      <c r="F122" s="28"/>
      <c r="G122" s="27"/>
      <c r="H122" s="180"/>
      <c r="I122" s="27"/>
      <c r="J122" s="32"/>
      <c r="K122" s="32"/>
      <c r="L122" s="32"/>
      <c r="M122" s="32"/>
      <c r="N122" s="31"/>
      <c r="O122" s="32"/>
      <c r="P122" s="33"/>
      <c r="Q122" s="33"/>
      <c r="R122" s="32"/>
      <c r="S122" s="33"/>
      <c r="T122" s="5"/>
    </row>
    <row r="123" spans="1:20" x14ac:dyDescent="0.25">
      <c r="A123" s="23"/>
      <c r="B123" s="24"/>
      <c r="C123" s="25"/>
      <c r="D123" s="27"/>
      <c r="E123" s="27"/>
      <c r="F123" s="28"/>
      <c r="G123" s="27"/>
      <c r="H123" s="180"/>
      <c r="I123" s="27"/>
      <c r="J123" s="32"/>
      <c r="K123" s="32"/>
      <c r="L123" s="32"/>
      <c r="M123" s="32"/>
      <c r="N123" s="31"/>
      <c r="O123" s="32"/>
      <c r="P123" s="33"/>
      <c r="Q123" s="33"/>
      <c r="R123" s="32"/>
      <c r="S123" s="33"/>
      <c r="T123" s="5"/>
    </row>
    <row r="124" spans="1:20" x14ac:dyDescent="0.25">
      <c r="A124" s="23"/>
      <c r="B124" s="24"/>
      <c r="C124" s="25"/>
      <c r="D124" s="27"/>
      <c r="E124" s="27"/>
      <c r="F124" s="28"/>
      <c r="G124" s="27"/>
      <c r="H124" s="180"/>
      <c r="I124" s="27"/>
      <c r="J124" s="32"/>
      <c r="K124" s="32"/>
      <c r="L124" s="32"/>
      <c r="M124" s="32"/>
      <c r="N124" s="31"/>
      <c r="O124" s="32"/>
      <c r="P124" s="33"/>
      <c r="Q124" s="33"/>
      <c r="R124" s="32"/>
      <c r="S124" s="33"/>
      <c r="T124" s="5"/>
    </row>
    <row r="125" spans="1:20" x14ac:dyDescent="0.25">
      <c r="A125" s="23"/>
      <c r="B125" s="24"/>
      <c r="C125" s="25"/>
      <c r="D125" s="27"/>
      <c r="E125" s="27"/>
      <c r="F125" s="28"/>
      <c r="G125" s="27"/>
      <c r="H125" s="180"/>
      <c r="I125" s="27"/>
      <c r="J125" s="32"/>
      <c r="K125" s="32"/>
      <c r="L125" s="32"/>
      <c r="M125" s="32"/>
      <c r="N125" s="31"/>
      <c r="O125" s="32"/>
      <c r="P125" s="33"/>
      <c r="Q125" s="33"/>
      <c r="R125" s="32"/>
      <c r="S125" s="33"/>
      <c r="T125" s="5"/>
    </row>
    <row r="126" spans="1:20" x14ac:dyDescent="0.25">
      <c r="A126" s="23"/>
      <c r="B126" s="24"/>
      <c r="C126" s="25"/>
      <c r="D126" s="27"/>
      <c r="E126" s="27"/>
      <c r="F126" s="28"/>
      <c r="G126" s="27"/>
      <c r="H126" s="180"/>
      <c r="I126" s="27"/>
      <c r="J126" s="32"/>
      <c r="K126" s="32"/>
      <c r="L126" s="32"/>
      <c r="M126" s="32"/>
      <c r="N126" s="31"/>
      <c r="O126" s="32"/>
      <c r="P126" s="33"/>
      <c r="Q126" s="33"/>
      <c r="R126" s="32"/>
      <c r="S126" s="33"/>
      <c r="T126" s="5"/>
    </row>
    <row r="127" spans="1:20" x14ac:dyDescent="0.25">
      <c r="A127" s="23"/>
      <c r="B127" s="24"/>
      <c r="C127" s="25"/>
      <c r="D127" s="27"/>
      <c r="E127" s="27"/>
      <c r="F127" s="28"/>
      <c r="G127" s="27"/>
      <c r="H127" s="180"/>
      <c r="I127" s="27"/>
      <c r="J127" s="32"/>
      <c r="K127" s="32"/>
      <c r="L127" s="32"/>
      <c r="M127" s="32"/>
      <c r="N127" s="31"/>
      <c r="O127" s="32"/>
      <c r="P127" s="33"/>
      <c r="Q127" s="33"/>
      <c r="R127" s="32"/>
      <c r="S127" s="33"/>
      <c r="T127" s="5"/>
    </row>
    <row r="128" spans="1:20" x14ac:dyDescent="0.25">
      <c r="A128" s="23"/>
      <c r="B128" s="24"/>
      <c r="C128" s="25"/>
      <c r="D128" s="27"/>
      <c r="E128" s="27"/>
      <c r="F128" s="28"/>
      <c r="G128" s="27"/>
      <c r="H128" s="180"/>
      <c r="I128" s="27"/>
      <c r="J128" s="32"/>
      <c r="K128" s="32"/>
      <c r="L128" s="32"/>
      <c r="M128" s="32"/>
      <c r="N128" s="31"/>
      <c r="O128" s="32"/>
      <c r="P128" s="33"/>
      <c r="Q128" s="33"/>
      <c r="R128" s="32"/>
      <c r="S128" s="33"/>
      <c r="T128" s="5"/>
    </row>
    <row r="129" spans="1:20" x14ac:dyDescent="0.25">
      <c r="A129" s="23"/>
      <c r="B129" s="24"/>
      <c r="C129" s="25"/>
      <c r="D129" s="27"/>
      <c r="E129" s="27"/>
      <c r="F129" s="28"/>
      <c r="G129" s="27"/>
      <c r="H129" s="180"/>
      <c r="I129" s="27"/>
      <c r="J129" s="32"/>
      <c r="K129" s="32"/>
      <c r="L129" s="32"/>
      <c r="M129" s="32"/>
      <c r="N129" s="31"/>
      <c r="O129" s="32"/>
      <c r="P129" s="33"/>
      <c r="Q129" s="33"/>
      <c r="R129" s="32"/>
      <c r="S129" s="33"/>
      <c r="T129" s="5"/>
    </row>
    <row r="130" spans="1:20" x14ac:dyDescent="0.25">
      <c r="A130" s="23"/>
      <c r="B130" s="24"/>
      <c r="C130" s="25"/>
      <c r="D130" s="27"/>
      <c r="E130" s="27"/>
      <c r="F130" s="28"/>
      <c r="G130" s="27"/>
      <c r="H130" s="180"/>
      <c r="I130" s="27"/>
      <c r="J130" s="32"/>
      <c r="K130" s="32"/>
      <c r="L130" s="32"/>
      <c r="M130" s="32"/>
      <c r="N130" s="31"/>
      <c r="O130" s="32"/>
      <c r="P130" s="33"/>
      <c r="Q130" s="33"/>
      <c r="R130" s="32"/>
      <c r="S130" s="33"/>
      <c r="T130" s="5"/>
    </row>
    <row r="131" spans="1:20" x14ac:dyDescent="0.25">
      <c r="A131" s="23"/>
      <c r="B131" s="24"/>
      <c r="C131" s="25"/>
      <c r="D131" s="27"/>
      <c r="E131" s="27"/>
      <c r="F131" s="28"/>
      <c r="G131" s="27"/>
      <c r="H131" s="180"/>
      <c r="I131" s="27"/>
      <c r="J131" s="32"/>
      <c r="K131" s="32"/>
      <c r="L131" s="32"/>
      <c r="M131" s="32"/>
      <c r="N131" s="31"/>
      <c r="O131" s="32"/>
      <c r="P131" s="33"/>
      <c r="Q131" s="33"/>
      <c r="R131" s="32"/>
      <c r="S131" s="33"/>
      <c r="T131" s="5"/>
    </row>
    <row r="132" spans="1:20" x14ac:dyDescent="0.25">
      <c r="A132" s="23"/>
      <c r="B132" s="24"/>
      <c r="C132" s="25"/>
      <c r="D132" s="27"/>
      <c r="E132" s="27"/>
      <c r="F132" s="28"/>
      <c r="G132" s="27"/>
      <c r="H132" s="180"/>
      <c r="I132" s="27"/>
      <c r="J132" s="32"/>
      <c r="K132" s="32"/>
      <c r="L132" s="32"/>
      <c r="M132" s="32"/>
      <c r="N132" s="31"/>
      <c r="O132" s="32"/>
      <c r="P132" s="33"/>
      <c r="Q132" s="33"/>
      <c r="R132" s="32"/>
      <c r="S132" s="33"/>
      <c r="T132" s="5"/>
    </row>
    <row r="133" spans="1:20" x14ac:dyDescent="0.25">
      <c r="A133" s="23"/>
      <c r="B133" s="24"/>
      <c r="C133" s="25"/>
      <c r="D133" s="27"/>
      <c r="E133" s="27"/>
      <c r="F133" s="28"/>
      <c r="G133" s="27"/>
      <c r="H133" s="180"/>
      <c r="I133" s="27"/>
      <c r="J133" s="32"/>
      <c r="K133" s="32"/>
      <c r="L133" s="32"/>
      <c r="M133" s="32"/>
      <c r="N133" s="31"/>
      <c r="O133" s="32"/>
      <c r="P133" s="33"/>
      <c r="Q133" s="33"/>
      <c r="R133" s="32"/>
      <c r="S133" s="33"/>
      <c r="T133" s="5"/>
    </row>
    <row r="134" spans="1:20" x14ac:dyDescent="0.25">
      <c r="A134" s="23"/>
      <c r="B134" s="24"/>
      <c r="C134" s="25"/>
      <c r="D134" s="27"/>
      <c r="E134" s="27"/>
      <c r="F134" s="28"/>
      <c r="G134" s="27"/>
      <c r="H134" s="180"/>
      <c r="I134" s="27"/>
      <c r="J134" s="32"/>
      <c r="K134" s="32"/>
      <c r="L134" s="32"/>
      <c r="M134" s="32"/>
      <c r="N134" s="31"/>
      <c r="O134" s="32"/>
      <c r="P134" s="33"/>
      <c r="Q134" s="33"/>
      <c r="R134" s="32"/>
      <c r="S134" s="33"/>
      <c r="T134" s="5"/>
    </row>
    <row r="135" spans="1:20" x14ac:dyDescent="0.25">
      <c r="A135" s="23"/>
      <c r="B135" s="24"/>
      <c r="C135" s="25"/>
      <c r="D135" s="27"/>
      <c r="E135" s="27"/>
      <c r="F135" s="28"/>
      <c r="G135" s="27"/>
      <c r="H135" s="180"/>
      <c r="I135" s="27"/>
      <c r="J135" s="32"/>
      <c r="K135" s="32"/>
      <c r="L135" s="32"/>
      <c r="M135" s="32"/>
      <c r="N135" s="31"/>
      <c r="O135" s="32"/>
      <c r="P135" s="33"/>
      <c r="Q135" s="33"/>
      <c r="R135" s="32"/>
      <c r="S135" s="33"/>
      <c r="T135" s="5"/>
    </row>
    <row r="136" spans="1:20" x14ac:dyDescent="0.25">
      <c r="A136" s="23"/>
      <c r="B136" s="24"/>
      <c r="C136" s="25"/>
      <c r="D136" s="27"/>
      <c r="E136" s="27"/>
      <c r="F136" s="28"/>
      <c r="G136" s="27"/>
      <c r="H136" s="180"/>
      <c r="I136" s="27"/>
      <c r="J136" s="32"/>
      <c r="K136" s="32"/>
      <c r="L136" s="32"/>
      <c r="M136" s="32"/>
      <c r="N136" s="31"/>
      <c r="O136" s="32"/>
      <c r="P136" s="33"/>
      <c r="Q136" s="33"/>
      <c r="R136" s="32"/>
      <c r="S136" s="33"/>
      <c r="T136" s="5"/>
    </row>
    <row r="137" spans="1:20" x14ac:dyDescent="0.25">
      <c r="A137" s="23"/>
      <c r="B137" s="24"/>
      <c r="C137" s="25"/>
      <c r="D137" s="27"/>
      <c r="E137" s="27"/>
      <c r="F137" s="28"/>
      <c r="G137" s="27"/>
      <c r="H137" s="180"/>
      <c r="I137" s="27"/>
      <c r="J137" s="32"/>
      <c r="K137" s="32"/>
      <c r="L137" s="32"/>
      <c r="M137" s="32"/>
      <c r="N137" s="31"/>
      <c r="O137" s="32"/>
      <c r="P137" s="33"/>
      <c r="Q137" s="33"/>
      <c r="R137" s="32"/>
      <c r="S137" s="33"/>
      <c r="T137" s="5"/>
    </row>
    <row r="138" spans="1:20" x14ac:dyDescent="0.25">
      <c r="A138" s="23"/>
      <c r="B138" s="24"/>
      <c r="C138" s="25"/>
      <c r="D138" s="27"/>
      <c r="E138" s="27"/>
      <c r="F138" s="28"/>
      <c r="G138" s="27"/>
      <c r="H138" s="180"/>
      <c r="I138" s="27"/>
      <c r="J138" s="32"/>
      <c r="K138" s="32"/>
      <c r="L138" s="32"/>
      <c r="M138" s="32"/>
      <c r="N138" s="31"/>
      <c r="O138" s="32"/>
      <c r="P138" s="33"/>
      <c r="Q138" s="33"/>
      <c r="R138" s="32"/>
      <c r="S138" s="33"/>
      <c r="T138" s="5"/>
    </row>
    <row r="139" spans="1:20" x14ac:dyDescent="0.25">
      <c r="A139" s="23"/>
      <c r="B139" s="24"/>
      <c r="C139" s="25"/>
      <c r="D139" s="27"/>
      <c r="E139" s="27"/>
      <c r="F139" s="28"/>
      <c r="G139" s="27"/>
      <c r="H139" s="180"/>
      <c r="I139" s="27"/>
      <c r="J139" s="32"/>
      <c r="K139" s="32"/>
      <c r="L139" s="32"/>
      <c r="M139" s="32"/>
      <c r="N139" s="31"/>
      <c r="O139" s="32"/>
      <c r="P139" s="33"/>
      <c r="Q139" s="33"/>
      <c r="R139" s="32"/>
      <c r="S139" s="33"/>
      <c r="T139" s="5"/>
    </row>
    <row r="140" spans="1:20" x14ac:dyDescent="0.25">
      <c r="A140" s="23"/>
      <c r="B140" s="24"/>
      <c r="C140" s="25"/>
      <c r="D140" s="27"/>
      <c r="E140" s="27"/>
      <c r="F140" s="28"/>
      <c r="G140" s="27"/>
      <c r="H140" s="180"/>
      <c r="I140" s="27"/>
      <c r="J140" s="32"/>
      <c r="K140" s="32"/>
      <c r="L140" s="32"/>
      <c r="M140" s="32"/>
      <c r="N140" s="31"/>
      <c r="O140" s="32"/>
      <c r="P140" s="33"/>
      <c r="Q140" s="33"/>
      <c r="R140" s="32"/>
      <c r="S140" s="33"/>
      <c r="T140" s="5"/>
    </row>
    <row r="141" spans="1:20" x14ac:dyDescent="0.25">
      <c r="A141" s="23"/>
      <c r="B141" s="24"/>
      <c r="C141" s="25"/>
      <c r="D141" s="27"/>
      <c r="E141" s="27"/>
      <c r="F141" s="28"/>
      <c r="G141" s="27"/>
      <c r="H141" s="180"/>
      <c r="I141" s="27"/>
      <c r="J141" s="32"/>
      <c r="K141" s="32"/>
      <c r="L141" s="32"/>
      <c r="M141" s="32"/>
      <c r="N141" s="31"/>
      <c r="O141" s="32"/>
      <c r="P141" s="33"/>
      <c r="Q141" s="33"/>
      <c r="R141" s="32"/>
      <c r="S141" s="33"/>
      <c r="T141" s="5"/>
    </row>
    <row r="142" spans="1:20" x14ac:dyDescent="0.25">
      <c r="A142" s="23"/>
      <c r="B142" s="24"/>
      <c r="C142" s="25"/>
      <c r="D142" s="27"/>
      <c r="E142" s="27"/>
      <c r="F142" s="28"/>
      <c r="G142" s="27"/>
      <c r="H142" s="180"/>
      <c r="I142" s="27"/>
      <c r="J142" s="32"/>
      <c r="K142" s="32"/>
      <c r="L142" s="32"/>
      <c r="M142" s="32"/>
      <c r="N142" s="31"/>
      <c r="O142" s="32"/>
      <c r="P142" s="33"/>
      <c r="Q142" s="33"/>
      <c r="R142" s="32"/>
      <c r="S142" s="33"/>
      <c r="T142" s="5"/>
    </row>
    <row r="143" spans="1:20" x14ac:dyDescent="0.25">
      <c r="A143" s="23"/>
      <c r="B143" s="24"/>
      <c r="C143" s="25"/>
      <c r="D143" s="27"/>
      <c r="E143" s="27"/>
      <c r="F143" s="28"/>
      <c r="G143" s="27"/>
      <c r="H143" s="180"/>
      <c r="I143" s="27"/>
      <c r="J143" s="32"/>
      <c r="K143" s="32"/>
      <c r="L143" s="32"/>
      <c r="M143" s="32"/>
      <c r="N143" s="31"/>
      <c r="O143" s="32"/>
      <c r="P143" s="33"/>
      <c r="Q143" s="33"/>
      <c r="R143" s="32"/>
      <c r="S143" s="33"/>
      <c r="T143" s="5"/>
    </row>
    <row r="144" spans="1:20" x14ac:dyDescent="0.25">
      <c r="A144" s="23"/>
      <c r="B144" s="24"/>
      <c r="C144" s="25"/>
      <c r="D144" s="27"/>
      <c r="E144" s="27"/>
      <c r="F144" s="28"/>
      <c r="G144" s="27"/>
      <c r="H144" s="180"/>
      <c r="I144" s="27"/>
      <c r="J144" s="32"/>
      <c r="K144" s="32"/>
      <c r="L144" s="32"/>
      <c r="M144" s="32"/>
      <c r="N144" s="31"/>
      <c r="O144" s="32"/>
      <c r="P144" s="33"/>
      <c r="Q144" s="33"/>
      <c r="R144" s="32"/>
      <c r="S144" s="33"/>
      <c r="T144" s="5"/>
    </row>
    <row r="145" spans="1:20" x14ac:dyDescent="0.25">
      <c r="A145" s="23"/>
      <c r="B145" s="24"/>
      <c r="C145" s="25"/>
      <c r="D145" s="27"/>
      <c r="E145" s="27"/>
      <c r="F145" s="28"/>
      <c r="G145" s="27"/>
      <c r="H145" s="180"/>
      <c r="I145" s="27"/>
      <c r="J145" s="32"/>
      <c r="K145" s="32"/>
      <c r="L145" s="32"/>
      <c r="M145" s="32"/>
      <c r="N145" s="31"/>
      <c r="O145" s="32"/>
      <c r="P145" s="33"/>
      <c r="Q145" s="33"/>
      <c r="R145" s="32"/>
      <c r="S145" s="33"/>
      <c r="T145" s="5"/>
    </row>
    <row r="146" spans="1:20" x14ac:dyDescent="0.25">
      <c r="A146" s="23"/>
      <c r="B146" s="24"/>
      <c r="C146" s="25"/>
      <c r="D146" s="27"/>
      <c r="E146" s="27"/>
      <c r="F146" s="28"/>
      <c r="G146" s="27"/>
      <c r="H146" s="180"/>
      <c r="I146" s="27"/>
      <c r="J146" s="32"/>
      <c r="K146" s="32"/>
      <c r="L146" s="32"/>
      <c r="M146" s="32"/>
      <c r="N146" s="31"/>
      <c r="O146" s="32"/>
      <c r="P146" s="33"/>
      <c r="Q146" s="33"/>
      <c r="R146" s="32"/>
      <c r="S146" s="33"/>
      <c r="T146" s="5"/>
    </row>
    <row r="147" spans="1:20" x14ac:dyDescent="0.25">
      <c r="A147" s="23"/>
      <c r="B147" s="24"/>
      <c r="C147" s="25"/>
      <c r="D147" s="27"/>
      <c r="E147" s="27"/>
      <c r="F147" s="28"/>
      <c r="G147" s="27"/>
      <c r="H147" s="180"/>
      <c r="I147" s="27"/>
      <c r="J147" s="32"/>
      <c r="K147" s="32"/>
      <c r="L147" s="32"/>
      <c r="M147" s="32"/>
      <c r="N147" s="31"/>
      <c r="O147" s="32"/>
      <c r="P147" s="33"/>
      <c r="Q147" s="33"/>
      <c r="R147" s="32"/>
      <c r="S147" s="33"/>
      <c r="T147" s="5"/>
    </row>
    <row r="148" spans="1:20" x14ac:dyDescent="0.25">
      <c r="A148" s="23"/>
      <c r="B148" s="24"/>
      <c r="C148" s="25"/>
      <c r="D148" s="27"/>
      <c r="E148" s="27"/>
      <c r="F148" s="28"/>
      <c r="G148" s="27"/>
      <c r="H148" s="180"/>
      <c r="I148" s="27"/>
      <c r="J148" s="32"/>
      <c r="K148" s="32"/>
      <c r="L148" s="32"/>
      <c r="M148" s="32"/>
      <c r="N148" s="31"/>
      <c r="O148" s="32"/>
      <c r="P148" s="33"/>
      <c r="Q148" s="33"/>
      <c r="R148" s="32"/>
      <c r="S148" s="33"/>
      <c r="T148" s="5"/>
    </row>
    <row r="149" spans="1:20" x14ac:dyDescent="0.25">
      <c r="A149" s="23"/>
      <c r="B149" s="24"/>
      <c r="C149" s="25"/>
      <c r="D149" s="27"/>
      <c r="E149" s="27"/>
      <c r="F149" s="28"/>
      <c r="G149" s="27"/>
      <c r="H149" s="180"/>
      <c r="I149" s="27"/>
      <c r="J149" s="32"/>
      <c r="K149" s="32"/>
      <c r="L149" s="32"/>
      <c r="M149" s="32"/>
      <c r="N149" s="31"/>
      <c r="O149" s="32"/>
      <c r="P149" s="33"/>
      <c r="Q149" s="33"/>
      <c r="R149" s="32"/>
      <c r="S149" s="33"/>
      <c r="T149" s="5"/>
    </row>
    <row r="150" spans="1:20" x14ac:dyDescent="0.25">
      <c r="A150" s="23"/>
      <c r="B150" s="24"/>
      <c r="C150" s="25"/>
      <c r="D150" s="27"/>
      <c r="E150" s="27"/>
      <c r="F150" s="28"/>
      <c r="G150" s="27"/>
      <c r="H150" s="180"/>
      <c r="I150" s="27"/>
      <c r="J150" s="32"/>
      <c r="K150" s="32"/>
      <c r="L150" s="32"/>
      <c r="M150" s="32"/>
      <c r="N150" s="31"/>
      <c r="O150" s="32"/>
      <c r="P150" s="33"/>
      <c r="Q150" s="33"/>
      <c r="R150" s="32"/>
      <c r="S150" s="33"/>
      <c r="T150" s="5"/>
    </row>
    <row r="151" spans="1:20" x14ac:dyDescent="0.25">
      <c r="A151" s="23"/>
      <c r="B151" s="24"/>
      <c r="C151" s="25"/>
      <c r="D151" s="27"/>
      <c r="E151" s="27"/>
      <c r="F151" s="28"/>
      <c r="G151" s="27"/>
      <c r="H151" s="180"/>
      <c r="I151" s="27"/>
      <c r="J151" s="32"/>
      <c r="K151" s="32"/>
      <c r="L151" s="32"/>
      <c r="M151" s="32"/>
      <c r="N151" s="31"/>
      <c r="O151" s="32"/>
      <c r="P151" s="33"/>
      <c r="Q151" s="33"/>
      <c r="R151" s="32"/>
      <c r="S151" s="33"/>
      <c r="T151" s="5"/>
    </row>
    <row r="152" spans="1:20" x14ac:dyDescent="0.25">
      <c r="A152" s="23"/>
      <c r="B152" s="24"/>
      <c r="C152" s="25"/>
      <c r="D152" s="27"/>
      <c r="E152" s="27"/>
      <c r="F152" s="28"/>
      <c r="G152" s="27"/>
      <c r="H152" s="180"/>
      <c r="I152" s="27"/>
      <c r="J152" s="32"/>
      <c r="K152" s="32"/>
      <c r="L152" s="32"/>
      <c r="M152" s="32"/>
      <c r="N152" s="31"/>
      <c r="O152" s="32"/>
      <c r="P152" s="33"/>
      <c r="Q152" s="33"/>
      <c r="R152" s="32"/>
      <c r="S152" s="33"/>
      <c r="T152" s="5"/>
    </row>
    <row r="153" spans="1:20" x14ac:dyDescent="0.25">
      <c r="A153" s="23"/>
      <c r="B153" s="24"/>
      <c r="C153" s="25"/>
      <c r="D153" s="27"/>
      <c r="E153" s="27"/>
      <c r="F153" s="28"/>
      <c r="G153" s="27"/>
      <c r="H153" s="180"/>
      <c r="I153" s="27"/>
      <c r="J153" s="32"/>
      <c r="K153" s="32"/>
      <c r="L153" s="32"/>
      <c r="M153" s="32"/>
      <c r="N153" s="31"/>
      <c r="O153" s="32"/>
      <c r="P153" s="33"/>
      <c r="Q153" s="33"/>
      <c r="R153" s="32"/>
      <c r="S153" s="33"/>
      <c r="T153" s="5"/>
    </row>
    <row r="154" spans="1:20" x14ac:dyDescent="0.25">
      <c r="A154" s="23"/>
      <c r="B154" s="24"/>
      <c r="C154" s="25"/>
      <c r="D154" s="27"/>
      <c r="E154" s="27"/>
      <c r="F154" s="28"/>
      <c r="G154" s="27"/>
      <c r="H154" s="180"/>
      <c r="I154" s="27"/>
      <c r="J154" s="32"/>
      <c r="K154" s="32"/>
      <c r="L154" s="32"/>
      <c r="M154" s="32"/>
      <c r="N154" s="31"/>
      <c r="O154" s="32"/>
      <c r="P154" s="33"/>
      <c r="Q154" s="33"/>
      <c r="R154" s="32"/>
      <c r="S154" s="33"/>
      <c r="T154" s="5"/>
    </row>
    <row r="155" spans="1:20" x14ac:dyDescent="0.25">
      <c r="A155" s="23"/>
      <c r="B155" s="24"/>
      <c r="C155" s="25"/>
      <c r="D155" s="27"/>
      <c r="E155" s="27"/>
      <c r="F155" s="28"/>
      <c r="G155" s="27"/>
      <c r="H155" s="180"/>
      <c r="I155" s="27"/>
      <c r="J155" s="32"/>
      <c r="K155" s="32"/>
      <c r="L155" s="32"/>
      <c r="M155" s="32"/>
      <c r="N155" s="31"/>
      <c r="O155" s="32"/>
      <c r="P155" s="33"/>
      <c r="Q155" s="33"/>
      <c r="R155" s="32"/>
      <c r="S155" s="33"/>
      <c r="T155" s="5"/>
    </row>
    <row r="156" spans="1:20" x14ac:dyDescent="0.25">
      <c r="A156" s="23"/>
      <c r="B156" s="24"/>
      <c r="C156" s="25"/>
      <c r="D156" s="27"/>
      <c r="E156" s="27"/>
      <c r="F156" s="28"/>
      <c r="G156" s="27"/>
      <c r="H156" s="180"/>
      <c r="I156" s="27"/>
      <c r="J156" s="32"/>
      <c r="K156" s="32"/>
      <c r="L156" s="32"/>
      <c r="M156" s="32"/>
      <c r="N156" s="31"/>
      <c r="O156" s="32"/>
      <c r="P156" s="33"/>
      <c r="Q156" s="33"/>
      <c r="R156" s="32"/>
      <c r="S156" s="33"/>
      <c r="T156" s="5"/>
    </row>
    <row r="157" spans="1:20" x14ac:dyDescent="0.25">
      <c r="A157" s="23"/>
      <c r="B157" s="24"/>
      <c r="C157" s="25"/>
      <c r="D157" s="27"/>
      <c r="E157" s="27"/>
      <c r="F157" s="28"/>
      <c r="G157" s="27"/>
      <c r="H157" s="180"/>
      <c r="I157" s="27"/>
      <c r="J157" s="32"/>
      <c r="K157" s="32"/>
      <c r="L157" s="32"/>
      <c r="M157" s="32"/>
      <c r="N157" s="31"/>
      <c r="O157" s="32"/>
      <c r="P157" s="33"/>
      <c r="Q157" s="33"/>
      <c r="R157" s="32"/>
      <c r="S157" s="33"/>
      <c r="T157" s="5"/>
    </row>
    <row r="158" spans="1:20" x14ac:dyDescent="0.25">
      <c r="A158" s="23"/>
      <c r="B158" s="24"/>
      <c r="C158" s="25"/>
      <c r="D158" s="27"/>
      <c r="E158" s="27"/>
      <c r="F158" s="28"/>
      <c r="G158" s="27"/>
      <c r="H158" s="180"/>
      <c r="I158" s="27"/>
      <c r="J158" s="32"/>
      <c r="K158" s="32"/>
      <c r="L158" s="32"/>
      <c r="M158" s="32"/>
      <c r="N158" s="31"/>
      <c r="O158" s="32"/>
      <c r="P158" s="33"/>
      <c r="Q158" s="33"/>
      <c r="R158" s="32"/>
      <c r="S158" s="33"/>
      <c r="T158" s="5"/>
    </row>
    <row r="159" spans="1:20" x14ac:dyDescent="0.25">
      <c r="A159" s="23"/>
      <c r="B159" s="24"/>
      <c r="C159" s="25"/>
      <c r="D159" s="27"/>
      <c r="E159" s="27"/>
      <c r="F159" s="28"/>
      <c r="G159" s="27"/>
      <c r="H159" s="180"/>
      <c r="I159" s="27"/>
      <c r="J159" s="32"/>
      <c r="K159" s="32"/>
      <c r="L159" s="32"/>
      <c r="M159" s="32"/>
      <c r="N159" s="31"/>
      <c r="O159" s="32"/>
      <c r="P159" s="33"/>
      <c r="Q159" s="33"/>
      <c r="R159" s="32"/>
      <c r="S159" s="33"/>
      <c r="T159" s="5"/>
    </row>
    <row r="160" spans="1:20" x14ac:dyDescent="0.25">
      <c r="A160" s="23"/>
      <c r="B160" s="24"/>
      <c r="C160" s="25"/>
      <c r="D160" s="27"/>
      <c r="E160" s="27"/>
      <c r="F160" s="28"/>
      <c r="G160" s="27"/>
      <c r="H160" s="180"/>
      <c r="I160" s="27"/>
      <c r="J160" s="32"/>
      <c r="K160" s="32"/>
      <c r="L160" s="32"/>
      <c r="M160" s="32"/>
      <c r="N160" s="31"/>
      <c r="O160" s="32"/>
      <c r="P160" s="33"/>
      <c r="Q160" s="33"/>
      <c r="R160" s="32"/>
      <c r="S160" s="33"/>
      <c r="T160" s="5"/>
    </row>
    <row r="161" spans="1:20" x14ac:dyDescent="0.25">
      <c r="A161" s="23"/>
      <c r="B161" s="24"/>
      <c r="C161" s="25"/>
      <c r="D161" s="27"/>
      <c r="E161" s="27"/>
      <c r="F161" s="28"/>
      <c r="G161" s="27"/>
      <c r="H161" s="180"/>
      <c r="I161" s="27"/>
      <c r="J161" s="32"/>
      <c r="K161" s="32"/>
      <c r="L161" s="32"/>
      <c r="M161" s="32"/>
      <c r="N161" s="31"/>
      <c r="O161" s="32"/>
      <c r="P161" s="33"/>
      <c r="Q161" s="33"/>
      <c r="R161" s="32"/>
      <c r="S161" s="33"/>
      <c r="T161" s="5"/>
    </row>
    <row r="162" spans="1:20" x14ac:dyDescent="0.25">
      <c r="A162" s="23"/>
      <c r="B162" s="24"/>
      <c r="C162" s="25"/>
      <c r="D162" s="27"/>
      <c r="E162" s="27"/>
      <c r="F162" s="28"/>
      <c r="G162" s="27"/>
      <c r="H162" s="180"/>
      <c r="I162" s="27"/>
      <c r="J162" s="32"/>
      <c r="K162" s="32"/>
      <c r="L162" s="32"/>
      <c r="M162" s="32"/>
      <c r="N162" s="31"/>
      <c r="O162" s="32"/>
      <c r="P162" s="33"/>
      <c r="Q162" s="33"/>
      <c r="R162" s="32"/>
      <c r="S162" s="33"/>
      <c r="T162" s="5"/>
    </row>
    <row r="163" spans="1:20" x14ac:dyDescent="0.25">
      <c r="A163" s="23"/>
      <c r="B163" s="24"/>
      <c r="C163" s="25"/>
      <c r="D163" s="27"/>
      <c r="E163" s="27"/>
      <c r="F163" s="28"/>
      <c r="G163" s="27"/>
      <c r="H163" s="180"/>
      <c r="I163" s="27"/>
      <c r="J163" s="32"/>
      <c r="K163" s="32"/>
      <c r="L163" s="32"/>
      <c r="M163" s="32"/>
      <c r="N163" s="31"/>
      <c r="O163" s="32"/>
      <c r="P163" s="33"/>
      <c r="Q163" s="33"/>
      <c r="R163" s="32"/>
      <c r="S163" s="33"/>
      <c r="T163" s="5"/>
    </row>
    <row r="164" spans="1:20" x14ac:dyDescent="0.25">
      <c r="A164" s="23"/>
      <c r="B164" s="24"/>
      <c r="C164" s="25"/>
      <c r="D164" s="27"/>
      <c r="E164" s="27"/>
      <c r="F164" s="28"/>
      <c r="G164" s="27"/>
      <c r="H164" s="180"/>
      <c r="I164" s="27"/>
      <c r="J164" s="32"/>
      <c r="K164" s="32"/>
      <c r="L164" s="32"/>
      <c r="M164" s="32"/>
      <c r="N164" s="31"/>
      <c r="O164" s="32"/>
      <c r="P164" s="33"/>
      <c r="Q164" s="33"/>
      <c r="R164" s="32"/>
      <c r="S164" s="33"/>
      <c r="T164" s="5"/>
    </row>
    <row r="165" spans="1:20" x14ac:dyDescent="0.25">
      <c r="A165" s="23"/>
      <c r="B165" s="24"/>
      <c r="C165" s="25"/>
      <c r="D165" s="27"/>
      <c r="E165" s="27"/>
      <c r="F165" s="28"/>
      <c r="G165" s="27"/>
      <c r="H165" s="180"/>
      <c r="I165" s="27"/>
      <c r="J165" s="32"/>
      <c r="K165" s="32"/>
      <c r="L165" s="32"/>
      <c r="M165" s="32"/>
      <c r="N165" s="31"/>
      <c r="O165" s="32"/>
      <c r="P165" s="33"/>
      <c r="Q165" s="33"/>
      <c r="R165" s="32"/>
      <c r="S165" s="33"/>
      <c r="T165" s="5"/>
    </row>
    <row r="166" spans="1:20" x14ac:dyDescent="0.25">
      <c r="A166" s="23"/>
      <c r="B166" s="24"/>
      <c r="C166" s="25"/>
      <c r="D166" s="27"/>
      <c r="E166" s="27"/>
      <c r="F166" s="28"/>
      <c r="G166" s="27"/>
      <c r="H166" s="180"/>
      <c r="I166" s="27"/>
      <c r="J166" s="32"/>
      <c r="K166" s="32"/>
      <c r="L166" s="32"/>
      <c r="M166" s="32"/>
      <c r="N166" s="31"/>
      <c r="O166" s="32"/>
      <c r="P166" s="33"/>
      <c r="Q166" s="33"/>
      <c r="R166" s="32"/>
      <c r="S166" s="33"/>
      <c r="T166" s="5"/>
    </row>
    <row r="167" spans="1:20" x14ac:dyDescent="0.25">
      <c r="A167" s="23"/>
      <c r="B167" s="24"/>
      <c r="C167" s="25"/>
      <c r="D167" s="27"/>
      <c r="E167" s="27"/>
      <c r="F167" s="28"/>
      <c r="G167" s="27"/>
      <c r="H167" s="180"/>
      <c r="I167" s="27"/>
      <c r="J167" s="32"/>
      <c r="K167" s="32"/>
      <c r="L167" s="32"/>
      <c r="M167" s="32"/>
      <c r="N167" s="31"/>
      <c r="O167" s="32"/>
      <c r="P167" s="33"/>
      <c r="Q167" s="33"/>
      <c r="R167" s="32"/>
      <c r="S167" s="33"/>
      <c r="T167" s="5"/>
    </row>
    <row r="168" spans="1:20" x14ac:dyDescent="0.25">
      <c r="A168" s="23"/>
      <c r="B168" s="24"/>
      <c r="C168" s="25"/>
      <c r="D168" s="27"/>
      <c r="E168" s="27"/>
      <c r="F168" s="28"/>
      <c r="G168" s="27"/>
      <c r="H168" s="180"/>
      <c r="I168" s="27"/>
      <c r="J168" s="32"/>
      <c r="K168" s="32"/>
      <c r="L168" s="32"/>
      <c r="M168" s="32"/>
      <c r="N168" s="31"/>
      <c r="O168" s="32"/>
      <c r="P168" s="33"/>
      <c r="Q168" s="33"/>
      <c r="R168" s="32"/>
      <c r="S168" s="33"/>
      <c r="T168" s="5"/>
    </row>
    <row r="169" spans="1:20" x14ac:dyDescent="0.25">
      <c r="A169" s="23"/>
      <c r="B169" s="24"/>
      <c r="C169" s="25"/>
      <c r="D169" s="27"/>
      <c r="E169" s="27"/>
      <c r="F169" s="28"/>
      <c r="G169" s="27"/>
      <c r="H169" s="180"/>
      <c r="I169" s="27"/>
      <c r="J169" s="32"/>
      <c r="K169" s="32"/>
      <c r="L169" s="32"/>
      <c r="M169" s="32"/>
      <c r="N169" s="31"/>
      <c r="O169" s="32"/>
      <c r="P169" s="33"/>
      <c r="Q169" s="33"/>
      <c r="R169" s="32"/>
      <c r="S169" s="33"/>
      <c r="T169" s="5"/>
    </row>
    <row r="170" spans="1:20" x14ac:dyDescent="0.25">
      <c r="A170" s="23"/>
      <c r="B170" s="24"/>
      <c r="C170" s="25"/>
      <c r="D170" s="27"/>
      <c r="E170" s="27"/>
      <c r="F170" s="28"/>
      <c r="G170" s="27"/>
      <c r="H170" s="180"/>
      <c r="I170" s="27"/>
      <c r="J170" s="32"/>
      <c r="K170" s="32"/>
      <c r="L170" s="32"/>
      <c r="M170" s="32"/>
      <c r="N170" s="31"/>
      <c r="O170" s="32"/>
      <c r="P170" s="33"/>
      <c r="Q170" s="33"/>
      <c r="R170" s="32"/>
      <c r="S170" s="33"/>
      <c r="T170" s="5"/>
    </row>
    <row r="171" spans="1:20" x14ac:dyDescent="0.25">
      <c r="A171" s="23"/>
      <c r="B171" s="24"/>
      <c r="C171" s="25"/>
      <c r="D171" s="27"/>
      <c r="E171" s="27"/>
      <c r="F171" s="28"/>
      <c r="G171" s="27"/>
      <c r="H171" s="180"/>
      <c r="I171" s="27"/>
      <c r="J171" s="32"/>
      <c r="K171" s="32"/>
      <c r="L171" s="32"/>
      <c r="M171" s="32"/>
      <c r="N171" s="31"/>
      <c r="O171" s="32"/>
      <c r="P171" s="33"/>
      <c r="Q171" s="33"/>
      <c r="R171" s="32"/>
      <c r="S171" s="33"/>
      <c r="T171" s="5"/>
    </row>
    <row r="172" spans="1:20" x14ac:dyDescent="0.25">
      <c r="A172" s="23"/>
      <c r="B172" s="24"/>
      <c r="C172" s="25"/>
      <c r="D172" s="27"/>
      <c r="E172" s="27"/>
      <c r="F172" s="28"/>
      <c r="G172" s="27"/>
      <c r="H172" s="180"/>
      <c r="I172" s="27"/>
      <c r="J172" s="32"/>
      <c r="K172" s="32"/>
      <c r="L172" s="32"/>
      <c r="M172" s="32"/>
      <c r="N172" s="31"/>
      <c r="O172" s="32"/>
      <c r="P172" s="33"/>
      <c r="Q172" s="33"/>
      <c r="R172" s="32"/>
      <c r="S172" s="33"/>
      <c r="T172" s="5"/>
    </row>
    <row r="173" spans="1:20" x14ac:dyDescent="0.25">
      <c r="A173" s="23"/>
      <c r="B173" s="24"/>
      <c r="C173" s="25"/>
      <c r="D173" s="27"/>
      <c r="E173" s="27"/>
      <c r="F173" s="28"/>
      <c r="G173" s="27"/>
      <c r="H173" s="180"/>
      <c r="I173" s="27"/>
      <c r="J173" s="32"/>
      <c r="K173" s="32"/>
      <c r="L173" s="32"/>
      <c r="M173" s="32"/>
      <c r="N173" s="31"/>
      <c r="O173" s="32"/>
      <c r="P173" s="33"/>
      <c r="Q173" s="33"/>
      <c r="R173" s="32"/>
      <c r="S173" s="33"/>
      <c r="T173" s="5"/>
    </row>
    <row r="174" spans="1:20" x14ac:dyDescent="0.25">
      <c r="A174" s="23"/>
      <c r="B174" s="24"/>
      <c r="C174" s="25"/>
      <c r="D174" s="27"/>
      <c r="E174" s="27"/>
      <c r="F174" s="28"/>
      <c r="G174" s="27"/>
      <c r="H174" s="180"/>
      <c r="I174" s="27"/>
      <c r="J174" s="32"/>
      <c r="K174" s="32"/>
      <c r="L174" s="32"/>
      <c r="M174" s="32"/>
      <c r="N174" s="31"/>
      <c r="O174" s="32"/>
      <c r="P174" s="33"/>
      <c r="Q174" s="33"/>
      <c r="R174" s="32"/>
      <c r="S174" s="33"/>
      <c r="T174" s="5"/>
    </row>
    <row r="175" spans="1:20" x14ac:dyDescent="0.25">
      <c r="A175" s="23"/>
      <c r="B175" s="24"/>
      <c r="C175" s="25"/>
      <c r="D175" s="27"/>
      <c r="E175" s="27"/>
      <c r="F175" s="28"/>
      <c r="G175" s="27"/>
      <c r="H175" s="180"/>
      <c r="I175" s="27"/>
      <c r="J175" s="32"/>
      <c r="K175" s="32"/>
      <c r="L175" s="32"/>
      <c r="M175" s="32"/>
      <c r="N175" s="31"/>
      <c r="O175" s="32"/>
      <c r="P175" s="33"/>
      <c r="Q175" s="33"/>
      <c r="R175" s="32"/>
      <c r="S175" s="33"/>
      <c r="T175" s="5"/>
    </row>
    <row r="176" spans="1:20" x14ac:dyDescent="0.25">
      <c r="A176" s="23"/>
      <c r="B176" s="24"/>
      <c r="C176" s="25"/>
      <c r="D176" s="27"/>
      <c r="E176" s="27"/>
      <c r="F176" s="28"/>
      <c r="G176" s="27"/>
      <c r="H176" s="180"/>
      <c r="I176" s="27"/>
      <c r="J176" s="32"/>
      <c r="K176" s="32"/>
      <c r="L176" s="32"/>
      <c r="M176" s="32"/>
      <c r="N176" s="31"/>
      <c r="O176" s="32"/>
      <c r="P176" s="33"/>
      <c r="Q176" s="33"/>
      <c r="R176" s="32"/>
      <c r="S176" s="33"/>
      <c r="T176" s="5"/>
    </row>
    <row r="177" spans="1:20" x14ac:dyDescent="0.25">
      <c r="A177" s="23"/>
      <c r="B177" s="24"/>
      <c r="C177" s="25"/>
      <c r="D177" s="27"/>
      <c r="E177" s="27"/>
      <c r="F177" s="28"/>
      <c r="G177" s="27"/>
      <c r="H177" s="180"/>
      <c r="I177" s="27"/>
      <c r="J177" s="32"/>
      <c r="K177" s="32"/>
      <c r="L177" s="32"/>
      <c r="M177" s="32"/>
      <c r="N177" s="31"/>
      <c r="O177" s="32"/>
      <c r="P177" s="33"/>
      <c r="Q177" s="33"/>
      <c r="R177" s="32"/>
      <c r="S177" s="33"/>
      <c r="T177" s="5"/>
    </row>
    <row r="178" spans="1:20" x14ac:dyDescent="0.25">
      <c r="A178" s="23"/>
      <c r="B178" s="24"/>
      <c r="C178" s="25"/>
      <c r="D178" s="27"/>
      <c r="E178" s="27"/>
      <c r="F178" s="28"/>
      <c r="G178" s="27"/>
      <c r="H178" s="180"/>
      <c r="I178" s="27"/>
      <c r="J178" s="32"/>
      <c r="K178" s="32"/>
      <c r="L178" s="32"/>
      <c r="M178" s="32"/>
      <c r="N178" s="31"/>
      <c r="O178" s="32"/>
      <c r="P178" s="33"/>
      <c r="Q178" s="33"/>
      <c r="R178" s="32"/>
      <c r="S178" s="33"/>
      <c r="T178" s="5"/>
    </row>
    <row r="179" spans="1:20" x14ac:dyDescent="0.25">
      <c r="A179" s="23"/>
      <c r="B179" s="24"/>
      <c r="C179" s="25"/>
      <c r="D179" s="27"/>
      <c r="E179" s="27"/>
      <c r="F179" s="28"/>
      <c r="G179" s="27"/>
      <c r="H179" s="180"/>
      <c r="I179" s="27"/>
      <c r="J179" s="32"/>
      <c r="K179" s="32"/>
      <c r="L179" s="32"/>
      <c r="M179" s="32"/>
      <c r="N179" s="31"/>
      <c r="O179" s="32"/>
      <c r="P179" s="33"/>
      <c r="Q179" s="33"/>
      <c r="R179" s="32"/>
      <c r="S179" s="33"/>
      <c r="T179" s="5"/>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workbookViewId="0">
      <selection activeCell="G8" sqref="G8"/>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1090</v>
      </c>
    </row>
    <row r="2" spans="1:28" ht="16.8" x14ac:dyDescent="0.3">
      <c r="A2" s="619" t="s">
        <v>94</v>
      </c>
      <c r="B2" s="620" t="str">
        <f>Weather_Site!D2</f>
        <v>Nicholson Street Melbourne</v>
      </c>
      <c r="C2" s="620"/>
      <c r="D2" s="620"/>
      <c r="E2" s="620"/>
      <c r="H2" s="676"/>
      <c r="I2" s="391"/>
      <c r="J2" s="676"/>
      <c r="R2" s="728" t="s">
        <v>1138</v>
      </c>
      <c r="S2" s="727"/>
      <c r="T2" s="728"/>
      <c r="U2" s="728"/>
      <c r="V2" s="725"/>
    </row>
    <row r="3" spans="1:28" ht="13.8" x14ac:dyDescent="0.25">
      <c r="L3" s="677" t="s">
        <v>1087</v>
      </c>
      <c r="Q3" s="734"/>
      <c r="R3" s="733" t="s">
        <v>736</v>
      </c>
      <c r="S3" s="733"/>
      <c r="T3" s="732"/>
      <c r="U3" s="729" t="s">
        <v>1130</v>
      </c>
      <c r="V3" s="725"/>
    </row>
    <row r="4" spans="1:28" x14ac:dyDescent="0.25">
      <c r="A4" s="621" t="s">
        <v>35</v>
      </c>
      <c r="B4" s="622"/>
      <c r="C4" s="623">
        <f>Weather_Site!D6</f>
        <v>0</v>
      </c>
      <c r="L4" s="678" t="s">
        <v>1088</v>
      </c>
      <c r="M4" s="679"/>
      <c r="N4" s="680"/>
      <c r="O4" s="679"/>
      <c r="P4" s="418">
        <v>35</v>
      </c>
      <c r="Q4" s="735"/>
      <c r="R4" s="728" t="s">
        <v>1131</v>
      </c>
      <c r="S4" s="728"/>
      <c r="T4" s="731"/>
      <c r="U4" s="729" t="s">
        <v>1132</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5"/>
      <c r="R5" s="728" t="s">
        <v>1133</v>
      </c>
      <c r="S5" s="728"/>
      <c r="T5" s="731"/>
      <c r="U5" s="729" t="s">
        <v>1134</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1141</v>
      </c>
      <c r="M6" s="679"/>
      <c r="N6" s="684"/>
      <c r="O6" s="685"/>
      <c r="P6" s="418">
        <v>0</v>
      </c>
      <c r="Q6" s="735"/>
      <c r="R6" s="728" t="s">
        <v>1135</v>
      </c>
      <c r="S6" s="728"/>
      <c r="T6" s="730"/>
      <c r="U6" s="729" t="s">
        <v>1136</v>
      </c>
      <c r="V6" s="725"/>
    </row>
    <row r="7" spans="1:28" x14ac:dyDescent="0.25">
      <c r="A7" s="630" t="s">
        <v>209</v>
      </c>
      <c r="B7" s="631"/>
      <c r="C7" s="206" t="s">
        <v>251</v>
      </c>
      <c r="D7" s="668">
        <f>IF(C7="Low",1,IF(C7="Moderate",2,IF(C7="High",3,IF(C7="Very High",3.5,IF(C7="Extreme",4,0)))))</f>
        <v>3</v>
      </c>
      <c r="E7" s="668">
        <f>IF(D7=4,4,IF(D7=3.5,3.5,IF(D7=3,3,IF(D7=2,2,IF(D7=1,1,0)))))</f>
        <v>3</v>
      </c>
      <c r="H7" s="632" t="s">
        <v>788</v>
      </c>
      <c r="I7" s="633" t="s">
        <v>255</v>
      </c>
      <c r="L7" s="681" t="s">
        <v>1139</v>
      </c>
      <c r="M7" s="682"/>
      <c r="N7" s="688"/>
      <c r="O7" s="689"/>
      <c r="P7" s="690">
        <f>(0.488623-0.00334694*P4-0.00202058*P5)*((-0.001*P6+0.33)/0.33)</f>
        <v>0.33510965999999998</v>
      </c>
      <c r="Q7" s="735"/>
      <c r="R7" s="728" t="s">
        <v>90</v>
      </c>
      <c r="S7" s="728"/>
      <c r="T7" s="730"/>
      <c r="U7" s="748" t="s">
        <v>1137</v>
      </c>
      <c r="V7" s="725"/>
    </row>
    <row r="8" spans="1:28" x14ac:dyDescent="0.25">
      <c r="A8" s="630" t="s">
        <v>210</v>
      </c>
      <c r="B8" s="631"/>
      <c r="C8" s="206">
        <v>20</v>
      </c>
      <c r="D8" s="207"/>
      <c r="E8" s="207"/>
      <c r="H8" s="632" t="s">
        <v>250</v>
      </c>
      <c r="I8" s="633" t="s">
        <v>256</v>
      </c>
      <c r="L8" s="681" t="s">
        <v>1089</v>
      </c>
      <c r="M8" s="682"/>
      <c r="N8" s="688"/>
      <c r="O8" s="689"/>
      <c r="P8" s="692">
        <f>1/P7</f>
        <v>2.984097802492474</v>
      </c>
      <c r="R8" s="725"/>
      <c r="S8" s="725"/>
      <c r="T8" s="725"/>
      <c r="U8" s="725"/>
      <c r="V8" s="725"/>
    </row>
    <row r="9" spans="1:28" x14ac:dyDescent="0.25">
      <c r="A9" s="630" t="s">
        <v>220</v>
      </c>
      <c r="B9" s="631"/>
      <c r="C9" s="206" t="s">
        <v>251</v>
      </c>
      <c r="D9" s="668">
        <f>IF(C9="Low",1,IF(C9="Moderate",2,IF(C9="High",3,IF(C9="Very High",3.5,IF(C9="Extreme",4,0)))))</f>
        <v>3</v>
      </c>
      <c r="E9" s="668">
        <f>IF(D9=4,6,IF(D9=3.5,4,IF(D9=3,3,IF(D9=2,2,IF(D9=1,1,0)))))</f>
        <v>3</v>
      </c>
      <c r="H9" s="632" t="s">
        <v>251</v>
      </c>
      <c r="I9" s="633" t="s">
        <v>257</v>
      </c>
      <c r="R9" s="725"/>
      <c r="S9" s="725"/>
      <c r="T9" s="725"/>
      <c r="U9" s="725"/>
      <c r="V9" s="725"/>
    </row>
    <row r="10" spans="1:28" x14ac:dyDescent="0.25">
      <c r="A10" s="697" t="s">
        <v>1091</v>
      </c>
      <c r="B10" s="631"/>
      <c r="C10" s="206">
        <v>1</v>
      </c>
      <c r="D10" s="207"/>
      <c r="E10" s="207"/>
      <c r="F10" s="634" t="s">
        <v>222</v>
      </c>
      <c r="H10" s="632" t="s">
        <v>252</v>
      </c>
      <c r="I10" s="633" t="s">
        <v>258</v>
      </c>
      <c r="L10" s="747" t="s">
        <v>1140</v>
      </c>
      <c r="M10" s="699"/>
      <c r="N10" s="700"/>
      <c r="O10" s="671">
        <v>3</v>
      </c>
      <c r="R10" s="725"/>
      <c r="S10" s="725"/>
      <c r="T10" s="725"/>
      <c r="U10" s="725"/>
      <c r="V10" s="725"/>
    </row>
    <row r="11" spans="1:28" x14ac:dyDescent="0.25">
      <c r="A11" s="630" t="s">
        <v>213</v>
      </c>
      <c r="B11" s="631"/>
      <c r="C11" s="206" t="s">
        <v>251</v>
      </c>
      <c r="D11" s="668">
        <f>IF(C11="Low",1,IF(C11="Moderate",2,IF(C11="High",3,IF(C11="Very High",3.5,IF(C11="Extreme",4,0)))))</f>
        <v>3</v>
      </c>
      <c r="E11" s="668">
        <f>IF(D11=4,7,IF(D11=3.5,6,IF(D11=3,5,IF(D11=2,2,IF(D11=1,1,0)))))</f>
        <v>5</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1093</v>
      </c>
      <c r="P13" s="702" t="s">
        <v>1092</v>
      </c>
      <c r="Q13" s="669" t="s">
        <v>1094</v>
      </c>
      <c r="R13" s="669" t="s">
        <v>1095</v>
      </c>
      <c r="S13" s="669" t="s">
        <v>1103</v>
      </c>
      <c r="T13" s="669" t="s">
        <v>1097</v>
      </c>
      <c r="U13" s="669" t="s">
        <v>1098</v>
      </c>
      <c r="V13" s="669" t="s">
        <v>1099</v>
      </c>
      <c r="W13" s="669" t="s">
        <v>1101</v>
      </c>
      <c r="X13" s="669" t="s">
        <v>1102</v>
      </c>
      <c r="Y13" s="669" t="s">
        <v>1100</v>
      </c>
      <c r="Z13" s="669" t="s">
        <v>1104</v>
      </c>
      <c r="AA13" s="669" t="s">
        <v>1105</v>
      </c>
      <c r="AB13" s="669" t="s">
        <v>45</v>
      </c>
    </row>
    <row r="14" spans="1:28" x14ac:dyDescent="0.25">
      <c r="A14" s="23" t="str">
        <f>Weather_Site!A12</f>
        <v>Mon</v>
      </c>
      <c r="B14" s="24">
        <f>Weather_Site!B12</f>
        <v>41281</v>
      </c>
      <c r="C14" s="25">
        <f>Weather_Site!C12</f>
        <v>0.20833333333333334</v>
      </c>
      <c r="D14" s="27">
        <f>Weather_Site!D12</f>
        <v>17.5</v>
      </c>
      <c r="E14" s="27">
        <f>Weather_Site!E12</f>
        <v>93.9</v>
      </c>
      <c r="F14" s="28">
        <f>Weather_Site!F12</f>
        <v>168</v>
      </c>
      <c r="G14" s="27">
        <f>Weather_Site!G12</f>
        <v>5</v>
      </c>
      <c r="H14" s="180">
        <f>C$4</f>
        <v>0</v>
      </c>
      <c r="I14" s="703">
        <f>G14/$O$10</f>
        <v>1.6666666666666667</v>
      </c>
      <c r="J14" s="27">
        <f>IF(Weather_Site!M12&lt;180,Weather_Site!M12+180,Weather_Site!M12-180)</f>
        <v>348</v>
      </c>
      <c r="K14" s="635">
        <f>2.76+0.124*E14-0.0187*D14</f>
        <v>14.076350000000001</v>
      </c>
      <c r="L14" s="635">
        <f>3.6+0.169*E14-0.045*D14</f>
        <v>18.6816</v>
      </c>
      <c r="M14" s="635">
        <f>3.08+0.198*E14-0.0483*D14</f>
        <v>20.826950000000004</v>
      </c>
      <c r="N14" s="704">
        <f>IF(AND(OR(MONTH(B14)&gt;10,MONTH(B14)&lt;3),AND(HOUR(C14)&gt;=13,HOUR(C14)&lt;=17)),K14,IF(OR(HOUR(C14)&lt;8,HOUR(C14)&gt;=20),M14,L14))</f>
        <v>20.826950000000004</v>
      </c>
      <c r="O14" s="636">
        <f>IF(N14&lt;=4.1,1,IF(N14&gt;=24,0,(0.9082+0.1206*N14-0.03106*N14^2+0.001853*N14^3-0.00003467*N14^4)))</f>
        <v>0.1640335658713088</v>
      </c>
      <c r="P14" s="705">
        <f>IF($O$11,Weather_Site!H12,IF(0.191*(Weather_Site!K12+104)*(Weather_Site!J12+1)^1.5/(3.52*(Weather_Site!J12+1)^1.5+Weather_Site!I12-1)&gt;10, 10,0.191*(Weather_Site!K12+104)*(Weather_Site!J12+1)^1.5/(3.52*(Weather_Site!J12+1)^1.5+Weather_Site!I12-1)))</f>
        <v>9.6999999999999993</v>
      </c>
      <c r="Q14" s="636">
        <f>1.008/(1+104.9*EXP(-0.9306*P14))</f>
        <v>0.99545419154276005</v>
      </c>
      <c r="R14" s="636">
        <f>O14*Q14</f>
        <v>0.16328790070029978</v>
      </c>
      <c r="S14" s="635">
        <f>MIN(IF(H14&gt;0,2^(H14/10),(2^(-H14/10))/(2*(2^(-H14/10))-1)),4)</f>
        <v>1</v>
      </c>
      <c r="T14" s="706">
        <f>IF(I14&gt;2,(0.03+0.05024*(I14-1)^0.92628*(($E$6+$E$7)/10)^0.79928)*1000*R14*S14,0.03*R14*S14*1000)</f>
        <v>4.8986370210089927</v>
      </c>
      <c r="U14" s="707">
        <f>IF(I14&gt;2,(0.19591*(I14-1)^0.82569*(($E$6+$E$7)/10)^0.46722)*$C$10^0.495*1000*R14*S14,0.03*1000*R14*S14)</f>
        <v>4.8986370210089936</v>
      </c>
      <c r="V14" s="707">
        <f>(0.05235*(G14)^1.19128)*1000*R14*S14</f>
        <v>58.148655614269643</v>
      </c>
      <c r="W14" s="708">
        <f>IF((E$6+E$7)&lt;1,0,1/(1+EXP(-(-23.9315+1.7033*I14+12.0822*R14+9.5236*($E$6+$E$7)))))</f>
        <v>1</v>
      </c>
      <c r="X14" s="636">
        <f t="shared" ref="X14" si="0">IF(U14&lt;300,0,1/(1+EXP(-(-32.3074+0.2951*G14+26.8734*R14))))</f>
        <v>0</v>
      </c>
      <c r="Y14" s="709">
        <f>IF(W14&lt;0.5,(T14*(1-W14)+U14*W14),(T14*(1-W14)+U14*W14*(1-X14)+V14*X14))</f>
        <v>4.8986370210089936</v>
      </c>
      <c r="Z14" s="635">
        <f>0.0193*Y14^0.723*EXP(0.64*$C$10)*1.07</f>
        <v>0.12354181240685891</v>
      </c>
      <c r="AA14" s="709">
        <f>(1/(0.2204*G14+1))*Y14</f>
        <v>2.3304648054276846</v>
      </c>
      <c r="AB14" s="740">
        <f>18600*Y14/3600*$F$11/10</f>
        <v>58.212136599656866</v>
      </c>
    </row>
    <row r="15" spans="1:28" x14ac:dyDescent="0.25">
      <c r="A15" s="23" t="str">
        <f>Weather_Site!A13</f>
        <v>Mon</v>
      </c>
      <c r="B15" s="24">
        <f>Weather_Site!B13</f>
        <v>41281</v>
      </c>
      <c r="C15" s="25">
        <f>Weather_Site!C13</f>
        <v>0.25</v>
      </c>
      <c r="D15" s="27">
        <f>Weather_Site!D13</f>
        <v>17.5</v>
      </c>
      <c r="E15" s="27">
        <f>Weather_Site!E13</f>
        <v>94.5</v>
      </c>
      <c r="F15" s="28">
        <f>Weather_Site!F13</f>
        <v>166</v>
      </c>
      <c r="G15" s="27">
        <f>Weather_Site!G13</f>
        <v>3</v>
      </c>
      <c r="H15" s="180">
        <f t="shared" ref="H15:H18" si="1">C$4</f>
        <v>0</v>
      </c>
      <c r="I15" s="703">
        <f t="shared" ref="I15:I78" si="2">G15/$O$10</f>
        <v>1</v>
      </c>
      <c r="J15" s="27">
        <f>IF(Weather_Site!M13&lt;180,Weather_Site!M13+180,Weather_Site!M13-180)</f>
        <v>346</v>
      </c>
      <c r="K15" s="635">
        <f t="shared" ref="K15:K78" si="3">2.76+0.124*E15-0.0187*D15</f>
        <v>14.15075</v>
      </c>
      <c r="L15" s="635">
        <f t="shared" ref="L15:L78" si="4">3.6+0.169*E15-0.045*D15</f>
        <v>18.783000000000001</v>
      </c>
      <c r="M15" s="635">
        <f t="shared" ref="M15:M78" si="5">3.08+0.198*E15-0.0483*D15</f>
        <v>20.945750000000004</v>
      </c>
      <c r="N15" s="704">
        <f t="shared" ref="N15:N78" si="6">IF(AND(OR(MONTH(B15)&gt;10,MONTH(B15)&lt;3),AND(HOUR(C15)&gt;=13,HOUR(C15)&lt;=17)),K15,IF(OR(HOUR(C15)&lt;8,HOUR(C15)&gt;=20),M15,L15))</f>
        <v>20.945750000000004</v>
      </c>
      <c r="O15" s="636">
        <f t="shared" ref="O15:O78" si="7">IF(N15&lt;=4.1,1,IF(N15&gt;=24,0,(0.9082+0.1206*N15-0.03106*N15^2+0.001853*N15^3-0.00003467*N15^4)))</f>
        <v>0.16220593932268379</v>
      </c>
      <c r="P15" s="705">
        <f>IF($O$11,Weather_Site!H13,IF(0.191*(Weather_Site!K13+104)*(Weather_Site!J13+1)^1.5/(3.52*(Weather_Site!J13+1)^1.5+Weather_Site!I13-1)&gt;10, 10,0.191*(Weather_Site!K13+104)*(Weather_Site!J13+1)^1.5/(3.52*(Weather_Site!J13+1)^1.5+Weather_Site!I13-1)))</f>
        <v>9.6999999999999993</v>
      </c>
      <c r="Q15" s="636">
        <f t="shared" ref="Q15:Q78" si="8">1.008/(1+104.9*EXP(-0.9306*P15))</f>
        <v>0.99545419154276005</v>
      </c>
      <c r="R15" s="636">
        <f t="shared" ref="R15:R78" si="9">O15*Q15</f>
        <v>0.16146858219189619</v>
      </c>
      <c r="S15" s="635">
        <f t="shared" ref="S15:S78" si="10">MIN(IF(H15&gt;0,2^(H15/10),(2^(-H15/10))/(2*(2^(-H15/10))-1)),4)</f>
        <v>1</v>
      </c>
      <c r="T15" s="706">
        <f t="shared" ref="T15:T78" si="11">IF(I15&gt;2,(0.03+0.05024*(I15-1)^0.92628*(($E$6+$E$7)/10)^0.79928)*1000*R15*S15,0.03*R15*S15*1000)</f>
        <v>4.8440574657568858</v>
      </c>
      <c r="U15" s="707">
        <f t="shared" ref="U15:U78" si="12">IF(I15&gt;2,(0.19591*(I15-1)^0.82569*(($E$6+$E$7)/10)^0.46722)*$C$10^0.495*1000*R15*S15,0.03*1000*R15*S15)</f>
        <v>4.8440574657568858</v>
      </c>
      <c r="V15" s="707">
        <f t="shared" ref="V15:V78" si="13">(0.05235*(G15)^1.19128)*1000*R15*S15</f>
        <v>31.288859003560081</v>
      </c>
      <c r="W15" s="708">
        <f t="shared" ref="W15:W78" si="14">IF((E$6+E$7)&lt;1,0,1/(1+EXP(-(-23.9315+1.7033*I15+12.0822*R15+9.5236*($E$6+$E$7)))))</f>
        <v>1</v>
      </c>
      <c r="X15" s="636">
        <f t="shared" ref="X15:X78" si="15">IF(U15&lt;300,0,1/(1+EXP(-(-32.3074+0.2951*G15+26.8734*R15))))</f>
        <v>0</v>
      </c>
      <c r="Y15" s="709">
        <f t="shared" ref="Y15:Y78" si="16">IF(W15&lt;0.5,(T15*(1-W15)+U15*W15),(T15*(1-W15)+U15*W15*(1-X15)+V15*X15))</f>
        <v>4.8440574657568858</v>
      </c>
      <c r="Z15" s="635">
        <f t="shared" ref="Z15:Z78" si="17">0.0193*Y15^0.723*EXP(0.64*$C$10)*1.07</f>
        <v>0.12254507708031134</v>
      </c>
      <c r="AA15" s="709">
        <f t="shared" ref="AA15:AA78" si="18">(1/(0.2204*G15+1))*Y15</f>
        <v>2.91599895602991</v>
      </c>
      <c r="AB15" s="740">
        <f t="shared" ref="AB15:AB78" si="19">18600*Y15/3600*$F$11/10</f>
        <v>57.563549551410993</v>
      </c>
    </row>
    <row r="16" spans="1:28" x14ac:dyDescent="0.25">
      <c r="A16" s="23" t="str">
        <f>Weather_Site!A14</f>
        <v>Mon</v>
      </c>
      <c r="B16" s="24">
        <f>Weather_Site!B14</f>
        <v>41281</v>
      </c>
      <c r="C16" s="25">
        <f>Weather_Site!C14</f>
        <v>0.29166666666666669</v>
      </c>
      <c r="D16" s="27">
        <f>Weather_Site!D14</f>
        <v>17.7</v>
      </c>
      <c r="E16" s="27">
        <f>Weather_Site!E14</f>
        <v>92.7</v>
      </c>
      <c r="F16" s="28">
        <f>Weather_Site!F14</f>
        <v>162</v>
      </c>
      <c r="G16" s="27">
        <f>Weather_Site!G14</f>
        <v>2</v>
      </c>
      <c r="H16" s="180">
        <f t="shared" si="1"/>
        <v>0</v>
      </c>
      <c r="I16" s="703">
        <f t="shared" si="2"/>
        <v>0.66666666666666663</v>
      </c>
      <c r="J16" s="27">
        <f>IF(Weather_Site!M14&lt;180,Weather_Site!M14+180,Weather_Site!M14-180)</f>
        <v>342</v>
      </c>
      <c r="K16" s="635">
        <f t="shared" si="3"/>
        <v>13.92381</v>
      </c>
      <c r="L16" s="635">
        <f t="shared" si="4"/>
        <v>18.469799999999999</v>
      </c>
      <c r="M16" s="635">
        <f t="shared" si="5"/>
        <v>20.579690000000003</v>
      </c>
      <c r="N16" s="704">
        <f t="shared" si="6"/>
        <v>20.579690000000003</v>
      </c>
      <c r="O16" s="636">
        <f t="shared" si="7"/>
        <v>0.16735022805062005</v>
      </c>
      <c r="P16" s="705">
        <f>IF($O$11,Weather_Site!H14,IF(0.191*(Weather_Site!K14+104)*(Weather_Site!J14+1)^1.5/(3.52*(Weather_Site!J14+1)^1.5+Weather_Site!I14-1)&gt;10, 10,0.191*(Weather_Site!K14+104)*(Weather_Site!J14+1)^1.5/(3.52*(Weather_Site!J14+1)^1.5+Weather_Site!I14-1)))</f>
        <v>9.6999999999999993</v>
      </c>
      <c r="Q16" s="636">
        <f t="shared" si="8"/>
        <v>0.99545419154276005</v>
      </c>
      <c r="R16" s="636">
        <f t="shared" si="9"/>
        <v>0.16658948596862652</v>
      </c>
      <c r="S16" s="635">
        <f t="shared" si="10"/>
        <v>1</v>
      </c>
      <c r="T16" s="706">
        <f t="shared" si="11"/>
        <v>4.9976845790587952</v>
      </c>
      <c r="U16" s="707">
        <f t="shared" si="12"/>
        <v>4.997684579058796</v>
      </c>
      <c r="V16" s="707">
        <f t="shared" si="13"/>
        <v>19.914769649854414</v>
      </c>
      <c r="W16" s="708">
        <f t="shared" si="14"/>
        <v>1</v>
      </c>
      <c r="X16" s="636">
        <f t="shared" si="15"/>
        <v>0</v>
      </c>
      <c r="Y16" s="709">
        <f t="shared" si="16"/>
        <v>4.997684579058796</v>
      </c>
      <c r="Z16" s="635">
        <f t="shared" si="17"/>
        <v>0.12534281051320362</v>
      </c>
      <c r="AA16" s="709">
        <f t="shared" si="18"/>
        <v>3.4686872425449717</v>
      </c>
      <c r="AB16" s="740">
        <f t="shared" si="19"/>
        <v>59.389151747815355</v>
      </c>
    </row>
    <row r="17" spans="1:28" x14ac:dyDescent="0.25">
      <c r="A17" s="23" t="str">
        <f>Weather_Site!A15</f>
        <v>Mon</v>
      </c>
      <c r="B17" s="24">
        <f>Weather_Site!B15</f>
        <v>41281</v>
      </c>
      <c r="C17" s="25">
        <f>Weather_Site!C15</f>
        <v>0.33333333333333331</v>
      </c>
      <c r="D17" s="27">
        <f>Weather_Site!D15</f>
        <v>18.399999999999999</v>
      </c>
      <c r="E17" s="27">
        <f>Weather_Site!E15</f>
        <v>87</v>
      </c>
      <c r="F17" s="28">
        <f>Weather_Site!F15</f>
        <v>160</v>
      </c>
      <c r="G17" s="27">
        <f>Weather_Site!G15</f>
        <v>2</v>
      </c>
      <c r="H17" s="180">
        <f t="shared" si="1"/>
        <v>0</v>
      </c>
      <c r="I17" s="703">
        <f t="shared" si="2"/>
        <v>0.66666666666666663</v>
      </c>
      <c r="J17" s="27">
        <f>IF(Weather_Site!M15&lt;180,Weather_Site!M15+180,Weather_Site!M15-180)</f>
        <v>340</v>
      </c>
      <c r="K17" s="635">
        <f t="shared" si="3"/>
        <v>13.20392</v>
      </c>
      <c r="L17" s="635">
        <f t="shared" si="4"/>
        <v>17.475000000000001</v>
      </c>
      <c r="M17" s="635">
        <f t="shared" si="5"/>
        <v>19.417279999999998</v>
      </c>
      <c r="N17" s="704">
        <f t="shared" si="6"/>
        <v>17.475000000000001</v>
      </c>
      <c r="O17" s="636">
        <f t="shared" si="7"/>
        <v>0.18601401918801885</v>
      </c>
      <c r="P17" s="705">
        <f>IF($O$11,Weather_Site!H15,IF(0.191*(Weather_Site!K15+104)*(Weather_Site!J15+1)^1.5/(3.52*(Weather_Site!J15+1)^1.5+Weather_Site!I15-1)&gt;10, 10,0.191*(Weather_Site!K15+104)*(Weather_Site!J15+1)^1.5/(3.52*(Weather_Site!J15+1)^1.5+Weather_Site!I15-1)))</f>
        <v>9.6999999999999993</v>
      </c>
      <c r="Q17" s="636">
        <f t="shared" si="8"/>
        <v>0.99545419154276005</v>
      </c>
      <c r="R17" s="636">
        <f t="shared" si="9"/>
        <v>0.18516843508642877</v>
      </c>
      <c r="S17" s="635">
        <f t="shared" si="10"/>
        <v>1</v>
      </c>
      <c r="T17" s="706">
        <f t="shared" si="11"/>
        <v>5.5550530525928634</v>
      </c>
      <c r="U17" s="707">
        <f t="shared" si="12"/>
        <v>5.5550530525928634</v>
      </c>
      <c r="V17" s="707">
        <f t="shared" si="13"/>
        <v>22.135771112618265</v>
      </c>
      <c r="W17" s="708">
        <f t="shared" si="14"/>
        <v>1</v>
      </c>
      <c r="X17" s="636">
        <f t="shared" si="15"/>
        <v>0</v>
      </c>
      <c r="Y17" s="709">
        <f t="shared" si="16"/>
        <v>5.5550530525928634</v>
      </c>
      <c r="Z17" s="635">
        <f t="shared" si="17"/>
        <v>0.13530041591623432</v>
      </c>
      <c r="AA17" s="709">
        <f t="shared" si="18"/>
        <v>3.8555337677629531</v>
      </c>
      <c r="AB17" s="740">
        <f t="shared" si="19"/>
        <v>66.012547108311864</v>
      </c>
    </row>
    <row r="18" spans="1:28" x14ac:dyDescent="0.25">
      <c r="A18" s="23" t="str">
        <f>Weather_Site!A16</f>
        <v>Mon</v>
      </c>
      <c r="B18" s="24">
        <f>Weather_Site!B16</f>
        <v>41281</v>
      </c>
      <c r="C18" s="25">
        <f>Weather_Site!C16</f>
        <v>0.375</v>
      </c>
      <c r="D18" s="27">
        <f>Weather_Site!D16</f>
        <v>19.8</v>
      </c>
      <c r="E18" s="27">
        <f>Weather_Site!E16</f>
        <v>78.3</v>
      </c>
      <c r="F18" s="28">
        <f>Weather_Site!F16</f>
        <v>123</v>
      </c>
      <c r="G18" s="27">
        <f>Weather_Site!G16</f>
        <v>4</v>
      </c>
      <c r="H18" s="180">
        <f t="shared" si="1"/>
        <v>0</v>
      </c>
      <c r="I18" s="703">
        <f t="shared" si="2"/>
        <v>1.3333333333333333</v>
      </c>
      <c r="J18" s="27">
        <f>IF(Weather_Site!M16&lt;180,Weather_Site!M16+180,Weather_Site!M16-180)</f>
        <v>303</v>
      </c>
      <c r="K18" s="635">
        <f t="shared" si="3"/>
        <v>12.098939999999999</v>
      </c>
      <c r="L18" s="635">
        <f t="shared" si="4"/>
        <v>15.941700000000003</v>
      </c>
      <c r="M18" s="635">
        <f t="shared" si="5"/>
        <v>17.62706</v>
      </c>
      <c r="N18" s="704">
        <f t="shared" si="6"/>
        <v>15.941700000000003</v>
      </c>
      <c r="O18" s="636">
        <f t="shared" si="7"/>
        <v>0.20527462497625537</v>
      </c>
      <c r="P18" s="705">
        <f>IF($O$11,Weather_Site!H16,IF(0.191*(Weather_Site!K16+104)*(Weather_Site!J16+1)^1.5/(3.52*(Weather_Site!J16+1)^1.5+Weather_Site!I16-1)&gt;10, 10,0.191*(Weather_Site!K16+104)*(Weather_Site!J16+1)^1.5/(3.52*(Weather_Site!J16+1)^1.5+Weather_Site!I16-1)))</f>
        <v>9.6999999999999993</v>
      </c>
      <c r="Q18" s="636">
        <f t="shared" si="8"/>
        <v>0.99545419154276005</v>
      </c>
      <c r="R18" s="636">
        <f t="shared" si="9"/>
        <v>0.20434148584998155</v>
      </c>
      <c r="S18" s="635">
        <f t="shared" si="10"/>
        <v>1</v>
      </c>
      <c r="T18" s="706">
        <f t="shared" si="11"/>
        <v>6.1302445754994457</v>
      </c>
      <c r="U18" s="707">
        <f t="shared" si="12"/>
        <v>6.1302445754994466</v>
      </c>
      <c r="V18" s="707">
        <f t="shared" si="13"/>
        <v>55.782151322469801</v>
      </c>
      <c r="W18" s="708">
        <f t="shared" si="14"/>
        <v>1</v>
      </c>
      <c r="X18" s="636">
        <f t="shared" si="15"/>
        <v>0</v>
      </c>
      <c r="Y18" s="709">
        <f t="shared" si="16"/>
        <v>6.1302445754994466</v>
      </c>
      <c r="Z18" s="635">
        <f t="shared" si="17"/>
        <v>0.14529009433421652</v>
      </c>
      <c r="AA18" s="709">
        <f t="shared" si="18"/>
        <v>3.2579956289856749</v>
      </c>
      <c r="AB18" s="740">
        <f t="shared" si="19"/>
        <v>72.847739705518421</v>
      </c>
    </row>
    <row r="19" spans="1:28" x14ac:dyDescent="0.25">
      <c r="A19" s="675" t="str">
        <f>Weather_Site!A17</f>
        <v>Mon</v>
      </c>
      <c r="B19" s="672">
        <f>Weather_Site!B17</f>
        <v>41281</v>
      </c>
      <c r="C19" s="673">
        <f>Weather_Site!C17</f>
        <v>0.41666666666666669</v>
      </c>
      <c r="D19" s="413">
        <f>Weather_Site!D17</f>
        <v>21.7</v>
      </c>
      <c r="E19" s="413">
        <f>Weather_Site!E17</f>
        <v>69.599999999999994</v>
      </c>
      <c r="F19" s="674">
        <f>Weather_Site!F17</f>
        <v>51</v>
      </c>
      <c r="G19" s="413">
        <f>Weather_Site!G17</f>
        <v>6</v>
      </c>
      <c r="H19" s="180">
        <f>C$4</f>
        <v>0</v>
      </c>
      <c r="I19" s="710">
        <f t="shared" si="2"/>
        <v>2</v>
      </c>
      <c r="J19" s="413">
        <f>IF(Weather_Site!M17&lt;180,Weather_Site!M17+180,Weather_Site!M17-180)</f>
        <v>231</v>
      </c>
      <c r="K19" s="711">
        <f t="shared" si="3"/>
        <v>10.98461</v>
      </c>
      <c r="L19" s="711">
        <f t="shared" si="4"/>
        <v>14.385899999999999</v>
      </c>
      <c r="M19" s="711">
        <f t="shared" si="5"/>
        <v>15.812689999999998</v>
      </c>
      <c r="N19" s="712">
        <f t="shared" si="6"/>
        <v>14.385899999999999</v>
      </c>
      <c r="O19" s="713">
        <f t="shared" si="7"/>
        <v>0.24701924761568095</v>
      </c>
      <c r="P19" s="714">
        <f>IF($O$11,Weather_Site!H17,IF(0.191*(Weather_Site!K17+104)*(Weather_Site!J17+1)^1.5/(3.52*(Weather_Site!J17+1)^1.5+Weather_Site!I17-1)&gt;10, 10,0.191*(Weather_Site!K17+104)*(Weather_Site!J17+1)^1.5/(3.52*(Weather_Site!J17+1)^1.5+Weather_Site!I17-1)))</f>
        <v>9.6999999999999993</v>
      </c>
      <c r="Q19" s="713">
        <f t="shared" si="8"/>
        <v>0.99545419154276005</v>
      </c>
      <c r="R19" s="713">
        <f t="shared" si="9"/>
        <v>0.24589634543076855</v>
      </c>
      <c r="S19" s="711">
        <f t="shared" si="10"/>
        <v>1</v>
      </c>
      <c r="T19" s="715">
        <f t="shared" si="11"/>
        <v>7.3768903629230556</v>
      </c>
      <c r="U19" s="716">
        <f t="shared" si="12"/>
        <v>7.3768903629230564</v>
      </c>
      <c r="V19" s="716">
        <f t="shared" si="13"/>
        <v>108.8089906799915</v>
      </c>
      <c r="W19" s="717">
        <f t="shared" si="14"/>
        <v>1</v>
      </c>
      <c r="X19" s="713">
        <f t="shared" si="15"/>
        <v>0</v>
      </c>
      <c r="Y19" s="718">
        <f t="shared" si="16"/>
        <v>7.3768903629230564</v>
      </c>
      <c r="Z19" s="711">
        <f t="shared" si="17"/>
        <v>0.16609707018374276</v>
      </c>
      <c r="AA19" s="718">
        <f t="shared" si="18"/>
        <v>3.1764081824505066</v>
      </c>
      <c r="AB19" s="741">
        <f t="shared" si="19"/>
        <v>87.662047146068986</v>
      </c>
    </row>
    <row r="20" spans="1:28" x14ac:dyDescent="0.25">
      <c r="A20" s="675" t="str">
        <f>Weather_Site!A18</f>
        <v>Mon</v>
      </c>
      <c r="B20" s="672">
        <f>Weather_Site!B18</f>
        <v>41281</v>
      </c>
      <c r="C20" s="673">
        <f>Weather_Site!C18</f>
        <v>0.45833333333333331</v>
      </c>
      <c r="D20" s="413">
        <f>Weather_Site!D18</f>
        <v>23.6</v>
      </c>
      <c r="E20" s="413">
        <f>Weather_Site!E18</f>
        <v>62.1</v>
      </c>
      <c r="F20" s="674">
        <f>Weather_Site!F18</f>
        <v>14</v>
      </c>
      <c r="G20" s="413">
        <f>Weather_Site!G18</f>
        <v>9</v>
      </c>
      <c r="H20" s="548">
        <f>C$4</f>
        <v>0</v>
      </c>
      <c r="I20" s="413">
        <f t="shared" si="2"/>
        <v>3</v>
      </c>
      <c r="J20" s="413">
        <f>IF(Weather_Site!M18&lt;180,Weather_Site!M18+180,Weather_Site!M18-180)</f>
        <v>194</v>
      </c>
      <c r="K20" s="711">
        <f t="shared" si="3"/>
        <v>10.019080000000001</v>
      </c>
      <c r="L20" s="711">
        <f t="shared" si="4"/>
        <v>13.032900000000001</v>
      </c>
      <c r="M20" s="711">
        <f t="shared" si="5"/>
        <v>14.235920000000002</v>
      </c>
      <c r="N20" s="711">
        <f t="shared" si="6"/>
        <v>13.032900000000001</v>
      </c>
      <c r="O20" s="713">
        <f t="shared" si="7"/>
        <v>0.30598132329564631</v>
      </c>
      <c r="P20" s="711">
        <f>IF($O$11,Weather_Site!H18,IF(0.191*(Weather_Site!K18+104)*(Weather_Site!J18+1)^1.5/(3.52*(Weather_Site!J18+1)^1.5+Weather_Site!I18-1)&gt;10, 10,0.191*(Weather_Site!K18+104)*(Weather_Site!J18+1)^1.5/(3.52*(Weather_Site!J18+1)^1.5+Weather_Site!I18-1)))</f>
        <v>9.6999999999999993</v>
      </c>
      <c r="Q20" s="713">
        <f t="shared" si="8"/>
        <v>0.99545419154276005</v>
      </c>
      <c r="R20" s="713">
        <f t="shared" si="9"/>
        <v>0.30459039080845152</v>
      </c>
      <c r="S20" s="711">
        <f t="shared" si="10"/>
        <v>1</v>
      </c>
      <c r="T20" s="716">
        <f t="shared" si="11"/>
        <v>49.349197001754369</v>
      </c>
      <c r="U20" s="716">
        <f t="shared" si="12"/>
        <v>127.8214141145954</v>
      </c>
      <c r="V20" s="716">
        <f t="shared" si="13"/>
        <v>218.47557991081871</v>
      </c>
      <c r="W20" s="717">
        <f t="shared" si="14"/>
        <v>1</v>
      </c>
      <c r="X20" s="713">
        <f t="shared" si="15"/>
        <v>0</v>
      </c>
      <c r="Y20" s="716">
        <f t="shared" si="16"/>
        <v>127.8214141145954</v>
      </c>
      <c r="Z20" s="711">
        <f t="shared" si="17"/>
        <v>1.3060625325195183</v>
      </c>
      <c r="AA20" s="716">
        <f t="shared" si="18"/>
        <v>42.841337349039883</v>
      </c>
      <c r="AB20" s="716">
        <f t="shared" si="19"/>
        <v>1518.9444710617754</v>
      </c>
    </row>
    <row r="21" spans="1:28" x14ac:dyDescent="0.25">
      <c r="A21" s="675" t="str">
        <f>Weather_Site!A19</f>
        <v>Mon</v>
      </c>
      <c r="B21" s="672">
        <f>Weather_Site!B19</f>
        <v>41281</v>
      </c>
      <c r="C21" s="673">
        <f>Weather_Site!C19</f>
        <v>0.5</v>
      </c>
      <c r="D21" s="413">
        <f>Weather_Site!D19</f>
        <v>25.7</v>
      </c>
      <c r="E21" s="413">
        <f>Weather_Site!E19</f>
        <v>55.1</v>
      </c>
      <c r="F21" s="674">
        <f>Weather_Site!F19</f>
        <v>23</v>
      </c>
      <c r="G21" s="413">
        <f>Weather_Site!G19</f>
        <v>11</v>
      </c>
      <c r="H21" s="548">
        <f>C$4</f>
        <v>0</v>
      </c>
      <c r="I21" s="413">
        <f t="shared" si="2"/>
        <v>3.6666666666666665</v>
      </c>
      <c r="J21" s="413">
        <f>IF(Weather_Site!M19&lt;180,Weather_Site!M19+180,Weather_Site!M19-180)</f>
        <v>203</v>
      </c>
      <c r="K21" s="711">
        <f t="shared" si="3"/>
        <v>9.1118100000000002</v>
      </c>
      <c r="L21" s="711">
        <f t="shared" si="4"/>
        <v>11.755400000000002</v>
      </c>
      <c r="M21" s="711">
        <f t="shared" si="5"/>
        <v>12.74849</v>
      </c>
      <c r="N21" s="711">
        <f t="shared" si="6"/>
        <v>11.755400000000002</v>
      </c>
      <c r="O21" s="713">
        <f t="shared" si="7"/>
        <v>0.3818148585444352</v>
      </c>
      <c r="P21" s="711">
        <f>IF($O$11,Weather_Site!H19,IF(0.191*(Weather_Site!K19+104)*(Weather_Site!J19+1)^1.5/(3.52*(Weather_Site!J19+1)^1.5+Weather_Site!I19-1)&gt;10, 10,0.191*(Weather_Site!K19+104)*(Weather_Site!J19+1)^1.5/(3.52*(Weather_Site!J19+1)^1.5+Weather_Site!I19-1)))</f>
        <v>9.6999999999999993</v>
      </c>
      <c r="Q21" s="713">
        <f t="shared" si="8"/>
        <v>0.99545419154276005</v>
      </c>
      <c r="R21" s="713">
        <f t="shared" si="9"/>
        <v>0.38007920133136402</v>
      </c>
      <c r="S21" s="711">
        <f t="shared" si="10"/>
        <v>1</v>
      </c>
      <c r="T21" s="716">
        <f t="shared" si="11"/>
        <v>76.901618090395871</v>
      </c>
      <c r="U21" s="716">
        <f t="shared" si="12"/>
        <v>202.26567588612556</v>
      </c>
      <c r="V21" s="716">
        <f t="shared" si="13"/>
        <v>346.24305324602557</v>
      </c>
      <c r="W21" s="717">
        <f t="shared" si="14"/>
        <v>1</v>
      </c>
      <c r="X21" s="713">
        <f t="shared" si="15"/>
        <v>0</v>
      </c>
      <c r="Y21" s="716">
        <f t="shared" si="16"/>
        <v>202.26567588612556</v>
      </c>
      <c r="Z21" s="711">
        <f t="shared" si="17"/>
        <v>1.8199996250578401</v>
      </c>
      <c r="AA21" s="716">
        <f t="shared" si="18"/>
        <v>59.066019123386745</v>
      </c>
      <c r="AB21" s="716">
        <f t="shared" si="19"/>
        <v>2403.5904484467924</v>
      </c>
    </row>
    <row r="22" spans="1:28" x14ac:dyDescent="0.25">
      <c r="A22" s="675" t="str">
        <f>Weather_Site!A20</f>
        <v>Mon</v>
      </c>
      <c r="B22" s="672">
        <f>Weather_Site!B20</f>
        <v>41281</v>
      </c>
      <c r="C22" s="673">
        <f>Weather_Site!C20</f>
        <v>0.54166666666666663</v>
      </c>
      <c r="D22" s="413">
        <f>Weather_Site!D20</f>
        <v>27.8</v>
      </c>
      <c r="E22" s="413">
        <f>Weather_Site!E20</f>
        <v>48.7</v>
      </c>
      <c r="F22" s="674">
        <f>Weather_Site!F20</f>
        <v>39</v>
      </c>
      <c r="G22" s="413">
        <f>Weather_Site!G20</f>
        <v>13</v>
      </c>
      <c r="H22" s="548">
        <f>C$4</f>
        <v>0</v>
      </c>
      <c r="I22" s="413">
        <f t="shared" si="2"/>
        <v>4.333333333333333</v>
      </c>
      <c r="J22" s="413">
        <f>IF(Weather_Site!M20&lt;180,Weather_Site!M20+180,Weather_Site!M20-180)</f>
        <v>219</v>
      </c>
      <c r="K22" s="711">
        <f t="shared" si="3"/>
        <v>8.2789400000000004</v>
      </c>
      <c r="L22" s="711">
        <f t="shared" si="4"/>
        <v>10.579300000000002</v>
      </c>
      <c r="M22" s="711">
        <f t="shared" si="5"/>
        <v>11.379860000000001</v>
      </c>
      <c r="N22" s="711">
        <f t="shared" si="6"/>
        <v>8.2789400000000004</v>
      </c>
      <c r="O22" s="713">
        <f t="shared" si="7"/>
        <v>0.66636368786737099</v>
      </c>
      <c r="P22" s="711">
        <f>IF($O$11,Weather_Site!H20,IF(0.191*(Weather_Site!K20+104)*(Weather_Site!J20+1)^1.5/(3.52*(Weather_Site!J20+1)^1.5+Weather_Site!I20-1)&gt;10, 10,0.191*(Weather_Site!K20+104)*(Weather_Site!J20+1)^1.5/(3.52*(Weather_Site!J20+1)^1.5+Weather_Site!I20-1)))</f>
        <v>9.6999999999999993</v>
      </c>
      <c r="Q22" s="713">
        <f t="shared" si="8"/>
        <v>0.99545419154276005</v>
      </c>
      <c r="R22" s="713">
        <f t="shared" si="9"/>
        <v>0.66333452617946587</v>
      </c>
      <c r="S22" s="711">
        <f t="shared" si="10"/>
        <v>1</v>
      </c>
      <c r="T22" s="716">
        <f t="shared" si="11"/>
        <v>160.45965731516182</v>
      </c>
      <c r="U22" s="716">
        <f t="shared" si="12"/>
        <v>424.4224192256774</v>
      </c>
      <c r="V22" s="716">
        <f t="shared" si="13"/>
        <v>737.33988252400695</v>
      </c>
      <c r="W22" s="717">
        <f t="shared" si="14"/>
        <v>1</v>
      </c>
      <c r="X22" s="713">
        <f t="shared" si="15"/>
        <v>2.3817980902382088E-5</v>
      </c>
      <c r="Y22" s="716">
        <f t="shared" si="16"/>
        <v>424.42987228784227</v>
      </c>
      <c r="Z22" s="711">
        <f t="shared" si="17"/>
        <v>3.1102353406480243</v>
      </c>
      <c r="AA22" s="716">
        <f t="shared" si="18"/>
        <v>109.80799759076949</v>
      </c>
      <c r="AB22" s="716">
        <f t="shared" si="19"/>
        <v>5043.6416490205256</v>
      </c>
    </row>
    <row r="23" spans="1:28" x14ac:dyDescent="0.25">
      <c r="A23" s="675" t="str">
        <f>Weather_Site!A21</f>
        <v>Mon</v>
      </c>
      <c r="B23" s="672">
        <f>Weather_Site!B21</f>
        <v>41281</v>
      </c>
      <c r="C23" s="673">
        <f>Weather_Site!C21</f>
        <v>0.58333333333333337</v>
      </c>
      <c r="D23" s="413">
        <f>Weather_Site!D21</f>
        <v>29.4</v>
      </c>
      <c r="E23" s="413">
        <f>Weather_Site!E21</f>
        <v>44.1</v>
      </c>
      <c r="F23" s="674">
        <f>Weather_Site!F21</f>
        <v>47</v>
      </c>
      <c r="G23" s="413">
        <f>Weather_Site!G21</f>
        <v>15</v>
      </c>
      <c r="H23" s="548">
        <f>C$4</f>
        <v>0</v>
      </c>
      <c r="I23" s="413">
        <f t="shared" si="2"/>
        <v>5</v>
      </c>
      <c r="J23" s="413">
        <f>IF(Weather_Site!M21&lt;180,Weather_Site!M21+180,Weather_Site!M21-180)</f>
        <v>227</v>
      </c>
      <c r="K23" s="711">
        <f t="shared" si="3"/>
        <v>7.6786200000000004</v>
      </c>
      <c r="L23" s="711">
        <f t="shared" si="4"/>
        <v>9.7299000000000007</v>
      </c>
      <c r="M23" s="711">
        <f t="shared" si="5"/>
        <v>10.391780000000001</v>
      </c>
      <c r="N23" s="711">
        <f t="shared" si="6"/>
        <v>7.6786200000000004</v>
      </c>
      <c r="O23" s="713">
        <f t="shared" si="7"/>
        <v>0.72130742775595624</v>
      </c>
      <c r="P23" s="711">
        <f>IF($O$11,Weather_Site!H21,IF(0.191*(Weather_Site!K21+104)*(Weather_Site!J21+1)^1.5/(3.52*(Weather_Site!J21+1)^1.5+Weather_Site!I21-1)&gt;10, 10,0.191*(Weather_Site!K21+104)*(Weather_Site!J21+1)^1.5/(3.52*(Weather_Site!J21+1)^1.5+Weather_Site!I21-1)))</f>
        <v>9.6999999999999993</v>
      </c>
      <c r="Q23" s="713">
        <f t="shared" si="8"/>
        <v>0.99545419154276005</v>
      </c>
      <c r="R23" s="713">
        <f t="shared" si="9"/>
        <v>0.71802850235059323</v>
      </c>
      <c r="S23" s="711">
        <f t="shared" si="10"/>
        <v>1</v>
      </c>
      <c r="T23" s="716">
        <f t="shared" si="11"/>
        <v>201.68230959456929</v>
      </c>
      <c r="U23" s="716">
        <f t="shared" si="12"/>
        <v>534.05570771813984</v>
      </c>
      <c r="V23" s="716">
        <f t="shared" si="13"/>
        <v>946.48201324601382</v>
      </c>
      <c r="W23" s="717">
        <f t="shared" si="14"/>
        <v>1</v>
      </c>
      <c r="X23" s="713">
        <f t="shared" si="15"/>
        <v>1.8684713981613192E-4</v>
      </c>
      <c r="Y23" s="716">
        <f t="shared" si="16"/>
        <v>534.13276839371269</v>
      </c>
      <c r="Z23" s="711">
        <f t="shared" si="17"/>
        <v>3.6726533852249053</v>
      </c>
      <c r="AA23" s="716">
        <f t="shared" si="18"/>
        <v>124.0438384565055</v>
      </c>
      <c r="AB23" s="716">
        <f t="shared" si="19"/>
        <v>6347.2777310786196</v>
      </c>
    </row>
    <row r="24" spans="1:28" x14ac:dyDescent="0.25">
      <c r="A24" s="23" t="str">
        <f>Weather_Site!A22</f>
        <v>Mon</v>
      </c>
      <c r="B24" s="24">
        <f>Weather_Site!B22</f>
        <v>41281</v>
      </c>
      <c r="C24" s="25">
        <f>Weather_Site!C22</f>
        <v>0.625</v>
      </c>
      <c r="D24" s="27">
        <f>Weather_Site!D22</f>
        <v>29.2</v>
      </c>
      <c r="E24" s="27">
        <f>Weather_Site!E22</f>
        <v>44.4</v>
      </c>
      <c r="F24" s="28">
        <f>Weather_Site!F22</f>
        <v>52</v>
      </c>
      <c r="G24" s="27">
        <f>Weather_Site!G22</f>
        <v>16</v>
      </c>
      <c r="H24" s="548">
        <f>C$4</f>
        <v>0</v>
      </c>
      <c r="I24" s="27">
        <f t="shared" si="2"/>
        <v>5.333333333333333</v>
      </c>
      <c r="J24" s="738">
        <f>IF(Weather_Site!M22&lt;180,Weather_Site!M22+180,Weather_Site!M22-180)</f>
        <v>232</v>
      </c>
      <c r="K24" s="635">
        <f t="shared" si="3"/>
        <v>7.7195599999999995</v>
      </c>
      <c r="L24" s="635">
        <f t="shared" si="4"/>
        <v>9.7896000000000001</v>
      </c>
      <c r="M24" s="635">
        <f t="shared" si="5"/>
        <v>10.460839999999999</v>
      </c>
      <c r="N24" s="635">
        <f t="shared" si="6"/>
        <v>7.7195599999999995</v>
      </c>
      <c r="O24" s="636">
        <f t="shared" si="7"/>
        <v>0.71756381343858966</v>
      </c>
      <c r="P24" s="635">
        <f>IF($O$11,Weather_Site!H22,IF(0.191*(Weather_Site!K22+104)*(Weather_Site!J22+1)^1.5/(3.52*(Weather_Site!J22+1)^1.5+Weather_Site!I22-1)&gt;10, 10,0.191*(Weather_Site!K22+104)*(Weather_Site!J22+1)^1.5/(3.52*(Weather_Site!J22+1)^1.5+Weather_Site!I22-1)))</f>
        <v>9.6999999999999993</v>
      </c>
      <c r="Q24" s="636">
        <f t="shared" si="8"/>
        <v>0.99545419154276005</v>
      </c>
      <c r="R24" s="636">
        <f t="shared" si="9"/>
        <v>0.71430190578685115</v>
      </c>
      <c r="S24" s="635">
        <f t="shared" si="10"/>
        <v>1</v>
      </c>
      <c r="T24" s="707">
        <f t="shared" si="11"/>
        <v>214.42724610275619</v>
      </c>
      <c r="U24" s="707">
        <f t="shared" si="12"/>
        <v>567.58303933229502</v>
      </c>
      <c r="V24" s="707">
        <f t="shared" si="13"/>
        <v>1016.816413007504</v>
      </c>
      <c r="W24" s="708">
        <f t="shared" si="14"/>
        <v>1</v>
      </c>
      <c r="X24" s="636">
        <f t="shared" si="15"/>
        <v>2.2705773161089073E-4</v>
      </c>
      <c r="Y24" s="707">
        <f t="shared" si="16"/>
        <v>567.68504124308561</v>
      </c>
      <c r="Z24" s="635">
        <f t="shared" si="17"/>
        <v>3.8380377482574439</v>
      </c>
      <c r="AA24" s="707">
        <f t="shared" si="18"/>
        <v>125.41645485221932</v>
      </c>
      <c r="AB24" s="707">
        <f t="shared" si="19"/>
        <v>6745.9905734386675</v>
      </c>
    </row>
    <row r="25" spans="1:28" x14ac:dyDescent="0.25">
      <c r="A25" s="23" t="str">
        <f>Weather_Site!A23</f>
        <v>Mon</v>
      </c>
      <c r="B25" s="24">
        <f>Weather_Site!B23</f>
        <v>41281</v>
      </c>
      <c r="C25" s="25">
        <f>Weather_Site!C23</f>
        <v>0.66666666666666663</v>
      </c>
      <c r="D25" s="27">
        <f>Weather_Site!D23</f>
        <v>28.2</v>
      </c>
      <c r="E25" s="27">
        <f>Weather_Site!E23</f>
        <v>48.2</v>
      </c>
      <c r="F25" s="28">
        <f>Weather_Site!F23</f>
        <v>63</v>
      </c>
      <c r="G25" s="27">
        <f>Weather_Site!G23</f>
        <v>17</v>
      </c>
      <c r="H25" s="548">
        <f>C$4</f>
        <v>0</v>
      </c>
      <c r="I25" s="27">
        <f t="shared" si="2"/>
        <v>5.666666666666667</v>
      </c>
      <c r="J25" s="738">
        <f>IF(Weather_Site!M23&lt;180,Weather_Site!M23+180,Weather_Site!M23-180)</f>
        <v>243</v>
      </c>
      <c r="K25" s="635">
        <f t="shared" si="3"/>
        <v>8.2094599999999982</v>
      </c>
      <c r="L25" s="635">
        <f t="shared" si="4"/>
        <v>10.476800000000001</v>
      </c>
      <c r="M25" s="635">
        <f t="shared" si="5"/>
        <v>11.261540000000002</v>
      </c>
      <c r="N25" s="635">
        <f t="shared" si="6"/>
        <v>8.2094599999999982</v>
      </c>
      <c r="O25" s="636">
        <f t="shared" si="7"/>
        <v>0.67271472158601542</v>
      </c>
      <c r="P25" s="635">
        <f>IF($O$11,Weather_Site!H23,IF(0.191*(Weather_Site!K23+104)*(Weather_Site!J23+1)^1.5/(3.52*(Weather_Site!J23+1)^1.5+Weather_Site!I23-1)&gt;10, 10,0.191*(Weather_Site!K23+104)*(Weather_Site!J23+1)^1.5/(3.52*(Weather_Site!J23+1)^1.5+Weather_Site!I23-1)))</f>
        <v>9.6999999999999993</v>
      </c>
      <c r="Q25" s="636">
        <f t="shared" si="8"/>
        <v>0.99545419154276005</v>
      </c>
      <c r="R25" s="636">
        <f t="shared" si="9"/>
        <v>0.66965668931531985</v>
      </c>
      <c r="S25" s="635">
        <f t="shared" si="10"/>
        <v>1</v>
      </c>
      <c r="T25" s="707">
        <f t="shared" si="11"/>
        <v>213.88162033997588</v>
      </c>
      <c r="U25" s="707">
        <f t="shared" si="12"/>
        <v>565.68463550977265</v>
      </c>
      <c r="V25" s="707">
        <f t="shared" si="13"/>
        <v>1024.6560024684736</v>
      </c>
      <c r="W25" s="708">
        <f t="shared" si="14"/>
        <v>1</v>
      </c>
      <c r="X25" s="636">
        <f t="shared" si="15"/>
        <v>9.1897215638566049E-5</v>
      </c>
      <c r="Y25" s="707">
        <f t="shared" si="16"/>
        <v>565.72681370045404</v>
      </c>
      <c r="Z25" s="635">
        <f t="shared" si="17"/>
        <v>3.8284611562546029</v>
      </c>
      <c r="AA25" s="707">
        <f t="shared" si="18"/>
        <v>119.18067196857967</v>
      </c>
      <c r="AB25" s="707">
        <f t="shared" si="19"/>
        <v>6722.7203028070626</v>
      </c>
    </row>
    <row r="26" spans="1:28" x14ac:dyDescent="0.25">
      <c r="A26" s="23" t="str">
        <f>Weather_Site!A24</f>
        <v>Mon</v>
      </c>
      <c r="B26" s="24">
        <f>Weather_Site!B24</f>
        <v>41281</v>
      </c>
      <c r="C26" s="25">
        <f>Weather_Site!C24</f>
        <v>0.70833333333333337</v>
      </c>
      <c r="D26" s="27">
        <f>Weather_Site!D24</f>
        <v>27</v>
      </c>
      <c r="E26" s="27">
        <f>Weather_Site!E24</f>
        <v>54.7</v>
      </c>
      <c r="F26" s="28">
        <f>Weather_Site!F24</f>
        <v>69</v>
      </c>
      <c r="G26" s="27">
        <f>Weather_Site!G24</f>
        <v>17</v>
      </c>
      <c r="H26" s="548">
        <f>C$4</f>
        <v>0</v>
      </c>
      <c r="I26" s="27">
        <f t="shared" si="2"/>
        <v>5.666666666666667</v>
      </c>
      <c r="J26" s="738">
        <f>IF(Weather_Site!M24&lt;180,Weather_Site!M24+180,Weather_Site!M24-180)</f>
        <v>249</v>
      </c>
      <c r="K26" s="635">
        <f t="shared" si="3"/>
        <v>9.0379000000000005</v>
      </c>
      <c r="L26" s="635">
        <f t="shared" si="4"/>
        <v>11.629300000000001</v>
      </c>
      <c r="M26" s="635">
        <f t="shared" si="5"/>
        <v>12.6065</v>
      </c>
      <c r="N26" s="635">
        <f t="shared" si="6"/>
        <v>9.0379000000000005</v>
      </c>
      <c r="O26" s="636">
        <f t="shared" si="7"/>
        <v>0.59772578854154201</v>
      </c>
      <c r="P26" s="635">
        <f>IF($O$11,Weather_Site!H24,IF(0.191*(Weather_Site!K24+104)*(Weather_Site!J24+1)^1.5/(3.52*(Weather_Site!J24+1)^1.5+Weather_Site!I24-1)&gt;10, 10,0.191*(Weather_Site!K24+104)*(Weather_Site!J24+1)^1.5/(3.52*(Weather_Site!J24+1)^1.5+Weather_Site!I24-1)))</f>
        <v>9.6999999999999993</v>
      </c>
      <c r="Q26" s="636">
        <f t="shared" si="8"/>
        <v>0.99545419154276005</v>
      </c>
      <c r="R26" s="636">
        <f t="shared" si="9"/>
        <v>0.5950086415968795</v>
      </c>
      <c r="S26" s="635">
        <f t="shared" si="10"/>
        <v>1</v>
      </c>
      <c r="T26" s="707">
        <f t="shared" si="11"/>
        <v>190.03978368549565</v>
      </c>
      <c r="U26" s="707">
        <f t="shared" si="12"/>
        <v>502.62657256665977</v>
      </c>
      <c r="V26" s="707">
        <f t="shared" si="13"/>
        <v>910.43543036389633</v>
      </c>
      <c r="W26" s="708">
        <f t="shared" si="14"/>
        <v>1</v>
      </c>
      <c r="X26" s="636">
        <f t="shared" si="15"/>
        <v>1.2362941684002019E-5</v>
      </c>
      <c r="Y26" s="707">
        <f t="shared" si="16"/>
        <v>502.63161428378692</v>
      </c>
      <c r="Z26" s="635">
        <f t="shared" si="17"/>
        <v>3.514739655116581</v>
      </c>
      <c r="AA26" s="707">
        <f t="shared" si="18"/>
        <v>105.88851737671418</v>
      </c>
      <c r="AB26" s="707">
        <f t="shared" si="19"/>
        <v>5972.9390164056686</v>
      </c>
    </row>
    <row r="27" spans="1:28" x14ac:dyDescent="0.25">
      <c r="A27" s="23" t="str">
        <f>Weather_Site!A25</f>
        <v>Mon</v>
      </c>
      <c r="B27" s="24">
        <f>Weather_Site!B25</f>
        <v>41281</v>
      </c>
      <c r="C27" s="25">
        <f>Weather_Site!C25</f>
        <v>0.75</v>
      </c>
      <c r="D27" s="27">
        <f>Weather_Site!D25</f>
        <v>25.4</v>
      </c>
      <c r="E27" s="27">
        <f>Weather_Site!E25</f>
        <v>61.7</v>
      </c>
      <c r="F27" s="28">
        <f>Weather_Site!F25</f>
        <v>66</v>
      </c>
      <c r="G27" s="27">
        <f>Weather_Site!G25</f>
        <v>17</v>
      </c>
      <c r="H27" s="548">
        <f>C$4</f>
        <v>0</v>
      </c>
      <c r="I27" s="27">
        <f t="shared" si="2"/>
        <v>5.666666666666667</v>
      </c>
      <c r="J27" s="738">
        <f>IF(Weather_Site!M25&lt;180,Weather_Site!M25+180,Weather_Site!M25-180)</f>
        <v>246</v>
      </c>
      <c r="K27" s="635">
        <f t="shared" si="3"/>
        <v>9.9358199999999997</v>
      </c>
      <c r="L27" s="635">
        <f t="shared" si="4"/>
        <v>12.8843</v>
      </c>
      <c r="M27" s="635">
        <f t="shared" si="5"/>
        <v>14.069780000000002</v>
      </c>
      <c r="N27" s="635">
        <f t="shared" si="6"/>
        <v>12.8843</v>
      </c>
      <c r="O27" s="636">
        <f t="shared" si="7"/>
        <v>0.31380800472115988</v>
      </c>
      <c r="P27" s="635">
        <f>IF($O$11,Weather_Site!H25,IF(0.191*(Weather_Site!K25+104)*(Weather_Site!J25+1)^1.5/(3.52*(Weather_Site!J25+1)^1.5+Weather_Site!I25-1)&gt;10, 10,0.191*(Weather_Site!K25+104)*(Weather_Site!J25+1)^1.5/(3.52*(Weather_Site!J25+1)^1.5+Weather_Site!I25-1)))</f>
        <v>9.6999999999999993</v>
      </c>
      <c r="Q27" s="636">
        <f t="shared" si="8"/>
        <v>0.99545419154276005</v>
      </c>
      <c r="R27" s="636">
        <f t="shared" si="9"/>
        <v>0.31238149363934886</v>
      </c>
      <c r="S27" s="635">
        <f t="shared" si="10"/>
        <v>1</v>
      </c>
      <c r="T27" s="707">
        <f t="shared" si="11"/>
        <v>99.771511417465831</v>
      </c>
      <c r="U27" s="707">
        <f t="shared" si="12"/>
        <v>263.88060358218365</v>
      </c>
      <c r="V27" s="707">
        <f t="shared" si="13"/>
        <v>477.98159508402819</v>
      </c>
      <c r="W27" s="708">
        <f t="shared" si="14"/>
        <v>1</v>
      </c>
      <c r="X27" s="636">
        <f t="shared" si="15"/>
        <v>0</v>
      </c>
      <c r="Y27" s="707">
        <f t="shared" si="16"/>
        <v>263.88060358218365</v>
      </c>
      <c r="Z27" s="635">
        <f t="shared" si="17"/>
        <v>2.205805194120197</v>
      </c>
      <c r="AA27" s="707">
        <f t="shared" si="18"/>
        <v>55.59126223607138</v>
      </c>
      <c r="AB27" s="707">
        <f t="shared" si="19"/>
        <v>3135.7811725682818</v>
      </c>
    </row>
    <row r="28" spans="1:28" x14ac:dyDescent="0.25">
      <c r="A28" s="23" t="str">
        <f>Weather_Site!A26</f>
        <v>Mon</v>
      </c>
      <c r="B28" s="24">
        <f>Weather_Site!B26</f>
        <v>41281</v>
      </c>
      <c r="C28" s="25">
        <f>Weather_Site!C26</f>
        <v>0.79166666666666663</v>
      </c>
      <c r="D28" s="27">
        <f>Weather_Site!D26</f>
        <v>23.5</v>
      </c>
      <c r="E28" s="27">
        <f>Weather_Site!E26</f>
        <v>69.5</v>
      </c>
      <c r="F28" s="28">
        <f>Weather_Site!F26</f>
        <v>60</v>
      </c>
      <c r="G28" s="27">
        <f>Weather_Site!G26</f>
        <v>16</v>
      </c>
      <c r="H28" s="548">
        <f>C$4</f>
        <v>0</v>
      </c>
      <c r="I28" s="27">
        <f t="shared" si="2"/>
        <v>5.333333333333333</v>
      </c>
      <c r="J28" s="738">
        <f>IF(Weather_Site!M26&lt;180,Weather_Site!M26+180,Weather_Site!M26-180)</f>
        <v>240</v>
      </c>
      <c r="K28" s="635">
        <f t="shared" si="3"/>
        <v>10.938549999999999</v>
      </c>
      <c r="L28" s="635">
        <f t="shared" si="4"/>
        <v>14.288000000000002</v>
      </c>
      <c r="M28" s="635">
        <f t="shared" si="5"/>
        <v>15.705950000000001</v>
      </c>
      <c r="N28" s="635">
        <f t="shared" si="6"/>
        <v>14.288000000000002</v>
      </c>
      <c r="O28" s="636">
        <f t="shared" si="7"/>
        <v>0.25054857093764382</v>
      </c>
      <c r="P28" s="635">
        <f>IF($O$11,Weather_Site!H26,IF(0.191*(Weather_Site!K26+104)*(Weather_Site!J26+1)^1.5/(3.52*(Weather_Site!J26+1)^1.5+Weather_Site!I26-1)&gt;10, 10,0.191*(Weather_Site!K26+104)*(Weather_Site!J26+1)^1.5/(3.52*(Weather_Site!J26+1)^1.5+Weather_Site!I26-1)))</f>
        <v>9.6999999999999993</v>
      </c>
      <c r="Q28" s="636">
        <f t="shared" si="8"/>
        <v>0.99545419154276005</v>
      </c>
      <c r="R28" s="636">
        <f t="shared" si="9"/>
        <v>0.24940962512492609</v>
      </c>
      <c r="S28" s="635">
        <f t="shared" si="10"/>
        <v>1</v>
      </c>
      <c r="T28" s="707">
        <f t="shared" si="11"/>
        <v>74.87060951929935</v>
      </c>
      <c r="U28" s="707">
        <f t="shared" si="12"/>
        <v>198.1804499194152</v>
      </c>
      <c r="V28" s="707">
        <f t="shared" si="13"/>
        <v>355.03727252374068</v>
      </c>
      <c r="W28" s="708">
        <f t="shared" si="14"/>
        <v>1</v>
      </c>
      <c r="X28" s="636">
        <f t="shared" si="15"/>
        <v>0</v>
      </c>
      <c r="Y28" s="707">
        <f t="shared" si="16"/>
        <v>198.1804499194152</v>
      </c>
      <c r="Z28" s="635">
        <f t="shared" si="17"/>
        <v>1.7933477852022426</v>
      </c>
      <c r="AA28" s="707">
        <f t="shared" si="18"/>
        <v>43.783238317297446</v>
      </c>
      <c r="AB28" s="707">
        <f t="shared" si="19"/>
        <v>2355.0443465423841</v>
      </c>
    </row>
    <row r="29" spans="1:28" x14ac:dyDescent="0.25">
      <c r="A29" s="675" t="str">
        <f>Weather_Site!A27</f>
        <v>Mon</v>
      </c>
      <c r="B29" s="672">
        <f>Weather_Site!B27</f>
        <v>41281</v>
      </c>
      <c r="C29" s="673">
        <f>Weather_Site!C27</f>
        <v>0.83333333333333337</v>
      </c>
      <c r="D29" s="413">
        <f>Weather_Site!D27</f>
        <v>21.3</v>
      </c>
      <c r="E29" s="413">
        <f>Weather_Site!E27</f>
        <v>80</v>
      </c>
      <c r="F29" s="674">
        <f>Weather_Site!F27</f>
        <v>57</v>
      </c>
      <c r="G29" s="413">
        <f>Weather_Site!G27</f>
        <v>14</v>
      </c>
      <c r="H29" s="548">
        <f>C$4</f>
        <v>0</v>
      </c>
      <c r="I29" s="413">
        <f t="shared" si="2"/>
        <v>4.666666666666667</v>
      </c>
      <c r="J29" s="413">
        <f>IF(Weather_Site!M27&lt;180,Weather_Site!M27+180,Weather_Site!M27-180)</f>
        <v>237</v>
      </c>
      <c r="K29" s="711">
        <f t="shared" si="3"/>
        <v>12.281689999999999</v>
      </c>
      <c r="L29" s="711">
        <f t="shared" si="4"/>
        <v>16.1615</v>
      </c>
      <c r="M29" s="711">
        <f t="shared" si="5"/>
        <v>17.891210000000001</v>
      </c>
      <c r="N29" s="711">
        <f t="shared" si="6"/>
        <v>17.891210000000001</v>
      </c>
      <c r="O29" s="713">
        <f t="shared" si="7"/>
        <v>0.18332639186579636</v>
      </c>
      <c r="P29" s="711">
        <f>IF($O$11,Weather_Site!H27,IF(0.191*(Weather_Site!K27+104)*(Weather_Site!J27+1)^1.5/(3.52*(Weather_Site!J27+1)^1.5+Weather_Site!I27-1)&gt;10, 10,0.191*(Weather_Site!K27+104)*(Weather_Site!J27+1)^1.5/(3.52*(Weather_Site!J27+1)^1.5+Weather_Site!I27-1)))</f>
        <v>9.6999999999999993</v>
      </c>
      <c r="Q29" s="713">
        <f t="shared" si="8"/>
        <v>0.99545419154276005</v>
      </c>
      <c r="R29" s="713">
        <f t="shared" si="9"/>
        <v>0.18249302520321753</v>
      </c>
      <c r="S29" s="711">
        <f t="shared" si="10"/>
        <v>1</v>
      </c>
      <c r="T29" s="716">
        <f t="shared" si="11"/>
        <v>47.713969287167728</v>
      </c>
      <c r="U29" s="716">
        <f t="shared" si="12"/>
        <v>126.32505926466749</v>
      </c>
      <c r="V29" s="716">
        <f t="shared" si="13"/>
        <v>221.57581884558957</v>
      </c>
      <c r="W29" s="717">
        <f t="shared" si="14"/>
        <v>1</v>
      </c>
      <c r="X29" s="713">
        <f t="shared" si="15"/>
        <v>0</v>
      </c>
      <c r="Y29" s="716">
        <f t="shared" si="16"/>
        <v>126.32505926466749</v>
      </c>
      <c r="Z29" s="711">
        <f t="shared" si="17"/>
        <v>1.2949901685838239</v>
      </c>
      <c r="AA29" s="716">
        <f t="shared" si="18"/>
        <v>30.919585682560086</v>
      </c>
      <c r="AB29" s="716">
        <f t="shared" si="19"/>
        <v>1501.1627875951319</v>
      </c>
    </row>
    <row r="30" spans="1:28" x14ac:dyDescent="0.25">
      <c r="A30" s="675" t="str">
        <f>Weather_Site!A28</f>
        <v>Mon</v>
      </c>
      <c r="B30" s="672">
        <f>Weather_Site!B28</f>
        <v>41281</v>
      </c>
      <c r="C30" s="673">
        <f>Weather_Site!C28</f>
        <v>0.875</v>
      </c>
      <c r="D30" s="413">
        <f>Weather_Site!D28</f>
        <v>20.100000000000001</v>
      </c>
      <c r="E30" s="413">
        <f>Weather_Site!E28</f>
        <v>86.1</v>
      </c>
      <c r="F30" s="674">
        <f>Weather_Site!F28</f>
        <v>40</v>
      </c>
      <c r="G30" s="413">
        <f>Weather_Site!G28</f>
        <v>12</v>
      </c>
      <c r="H30" s="548">
        <f>C$4</f>
        <v>0</v>
      </c>
      <c r="I30" s="413">
        <f t="shared" si="2"/>
        <v>4</v>
      </c>
      <c r="J30" s="413">
        <f>IF(Weather_Site!M28&lt;180,Weather_Site!M28+180,Weather_Site!M28-180)</f>
        <v>220</v>
      </c>
      <c r="K30" s="711">
        <f t="shared" si="3"/>
        <v>13.060529999999998</v>
      </c>
      <c r="L30" s="711">
        <f t="shared" si="4"/>
        <v>17.246400000000001</v>
      </c>
      <c r="M30" s="711">
        <f t="shared" si="5"/>
        <v>19.156970000000001</v>
      </c>
      <c r="N30" s="711">
        <f t="shared" si="6"/>
        <v>19.156970000000001</v>
      </c>
      <c r="O30" s="713">
        <f t="shared" si="7"/>
        <v>0.17778016655577833</v>
      </c>
      <c r="P30" s="711">
        <f>IF($O$11,Weather_Site!H28,IF(0.191*(Weather_Site!K28+104)*(Weather_Site!J28+1)^1.5/(3.52*(Weather_Site!J28+1)^1.5+Weather_Site!I28-1)&gt;10, 10,0.191*(Weather_Site!K28+104)*(Weather_Site!J28+1)^1.5/(3.52*(Weather_Site!J28+1)^1.5+Weather_Site!I28-1)))</f>
        <v>9.6999999999999993</v>
      </c>
      <c r="Q30" s="713">
        <f t="shared" si="8"/>
        <v>0.99545419154276005</v>
      </c>
      <c r="R30" s="713">
        <f t="shared" si="9"/>
        <v>0.17697201197111956</v>
      </c>
      <c r="S30" s="711">
        <f t="shared" si="10"/>
        <v>1</v>
      </c>
      <c r="T30" s="716">
        <f t="shared" si="11"/>
        <v>39.322424867998144</v>
      </c>
      <c r="U30" s="716">
        <f t="shared" si="12"/>
        <v>103.79795562106396</v>
      </c>
      <c r="V30" s="716">
        <f t="shared" si="13"/>
        <v>178.82503106428311</v>
      </c>
      <c r="W30" s="717">
        <f t="shared" si="14"/>
        <v>1</v>
      </c>
      <c r="X30" s="713">
        <f t="shared" si="15"/>
        <v>0</v>
      </c>
      <c r="Y30" s="716">
        <f t="shared" si="16"/>
        <v>103.79795562106396</v>
      </c>
      <c r="Z30" s="711">
        <f t="shared" si="17"/>
        <v>1.1235542772689833</v>
      </c>
      <c r="AA30" s="716">
        <f t="shared" si="18"/>
        <v>28.478367982074175</v>
      </c>
      <c r="AB30" s="716">
        <f t="shared" si="19"/>
        <v>1233.4657059636434</v>
      </c>
    </row>
    <row r="31" spans="1:28" x14ac:dyDescent="0.25">
      <c r="A31" s="675" t="str">
        <f>Weather_Site!A29</f>
        <v>Mon</v>
      </c>
      <c r="B31" s="672">
        <f>Weather_Site!B29</f>
        <v>41281</v>
      </c>
      <c r="C31" s="673">
        <f>Weather_Site!C29</f>
        <v>0.91666666666666663</v>
      </c>
      <c r="D31" s="413">
        <f>Weather_Site!D29</f>
        <v>19.899999999999999</v>
      </c>
      <c r="E31" s="413">
        <f>Weather_Site!E29</f>
        <v>86.6</v>
      </c>
      <c r="F31" s="674">
        <f>Weather_Site!F29</f>
        <v>7</v>
      </c>
      <c r="G31" s="413">
        <f>Weather_Site!G29</f>
        <v>10</v>
      </c>
      <c r="H31" s="548">
        <f>C$4</f>
        <v>0</v>
      </c>
      <c r="I31" s="413">
        <f t="shared" si="2"/>
        <v>3.3333333333333335</v>
      </c>
      <c r="J31" s="413">
        <f>IF(Weather_Site!M29&lt;180,Weather_Site!M29+180,Weather_Site!M29-180)</f>
        <v>187</v>
      </c>
      <c r="K31" s="711">
        <f t="shared" si="3"/>
        <v>13.126269999999998</v>
      </c>
      <c r="L31" s="711">
        <f t="shared" si="4"/>
        <v>17.339900000000004</v>
      </c>
      <c r="M31" s="711">
        <f t="shared" si="5"/>
        <v>19.265629999999998</v>
      </c>
      <c r="N31" s="711">
        <f t="shared" si="6"/>
        <v>19.265629999999998</v>
      </c>
      <c r="O31" s="713">
        <f t="shared" si="7"/>
        <v>0.17729974625282452</v>
      </c>
      <c r="P31" s="711">
        <f>IF($O$11,Weather_Site!H29,IF(0.191*(Weather_Site!K29+104)*(Weather_Site!J29+1)^1.5/(3.52*(Weather_Site!J29+1)^1.5+Weather_Site!I29-1)&gt;10, 10,0.191*(Weather_Site!K29+104)*(Weather_Site!J29+1)^1.5/(3.52*(Weather_Site!J29+1)^1.5+Weather_Site!I29-1)))</f>
        <v>9.6999999999999993</v>
      </c>
      <c r="Q31" s="713">
        <f t="shared" si="8"/>
        <v>0.99545419154276005</v>
      </c>
      <c r="R31" s="713">
        <f t="shared" si="9"/>
        <v>0.17649377556684193</v>
      </c>
      <c r="S31" s="711">
        <f t="shared" si="10"/>
        <v>1</v>
      </c>
      <c r="T31" s="716">
        <f t="shared" si="11"/>
        <v>32.171441411867413</v>
      </c>
      <c r="U31" s="716">
        <f t="shared" si="12"/>
        <v>84.119001356669983</v>
      </c>
      <c r="V31" s="716">
        <f t="shared" si="13"/>
        <v>143.52451226038181</v>
      </c>
      <c r="W31" s="713">
        <f t="shared" si="14"/>
        <v>1</v>
      </c>
      <c r="X31" s="713">
        <f t="shared" si="15"/>
        <v>0</v>
      </c>
      <c r="Y31" s="716">
        <f t="shared" si="16"/>
        <v>84.119001356669983</v>
      </c>
      <c r="Z31" s="711">
        <f t="shared" si="17"/>
        <v>0.96513484447382136</v>
      </c>
      <c r="AA31" s="716">
        <f t="shared" si="18"/>
        <v>26.254369961507486</v>
      </c>
      <c r="AB31" s="716">
        <f t="shared" si="19"/>
        <v>999.61413278842826</v>
      </c>
    </row>
    <row r="32" spans="1:28" x14ac:dyDescent="0.25">
      <c r="A32" s="675" t="str">
        <f>Weather_Site!A30</f>
        <v>Mon</v>
      </c>
      <c r="B32" s="672">
        <f>Weather_Site!B30</f>
        <v>41281</v>
      </c>
      <c r="C32" s="673">
        <f>Weather_Site!C30</f>
        <v>0.95833333333333337</v>
      </c>
      <c r="D32" s="413">
        <f>Weather_Site!D30</f>
        <v>20</v>
      </c>
      <c r="E32" s="413">
        <f>Weather_Site!E30</f>
        <v>85.6</v>
      </c>
      <c r="F32" s="674">
        <f>Weather_Site!F30</f>
        <v>350</v>
      </c>
      <c r="G32" s="413">
        <f>Weather_Site!G30</f>
        <v>8</v>
      </c>
      <c r="H32" s="548">
        <f>C$4</f>
        <v>0</v>
      </c>
      <c r="I32" s="413">
        <f t="shared" si="2"/>
        <v>2.6666666666666665</v>
      </c>
      <c r="J32" s="413">
        <f>IF(Weather_Site!M30&lt;180,Weather_Site!M30+180,Weather_Site!M30-180)</f>
        <v>170</v>
      </c>
      <c r="K32" s="711">
        <f t="shared" si="3"/>
        <v>13.000399999999999</v>
      </c>
      <c r="L32" s="711">
        <f t="shared" si="4"/>
        <v>17.166400000000003</v>
      </c>
      <c r="M32" s="711">
        <f t="shared" si="5"/>
        <v>19.062799999999996</v>
      </c>
      <c r="N32" s="711">
        <f t="shared" si="6"/>
        <v>19.062799999999996</v>
      </c>
      <c r="O32" s="713">
        <f t="shared" si="7"/>
        <v>0.17817895778595094</v>
      </c>
      <c r="P32" s="711">
        <f>IF($O$11,Weather_Site!H30,IF(0.191*(Weather_Site!K30+104)*(Weather_Site!J30+1)^1.5/(3.52*(Weather_Site!J30+1)^1.5+Weather_Site!I30-1)&gt;10, 10,0.191*(Weather_Site!K30+104)*(Weather_Site!J30+1)^1.5/(3.52*(Weather_Site!J30+1)^1.5+Weather_Site!I30-1)))</f>
        <v>9.6999999999999993</v>
      </c>
      <c r="Q32" s="713">
        <f t="shared" si="8"/>
        <v>0.99545419154276005</v>
      </c>
      <c r="R32" s="713">
        <f t="shared" si="9"/>
        <v>0.17736899037274537</v>
      </c>
      <c r="S32" s="711">
        <f t="shared" si="10"/>
        <v>1</v>
      </c>
      <c r="T32" s="716">
        <f t="shared" si="11"/>
        <v>25.098397245143552</v>
      </c>
      <c r="U32" s="716">
        <f t="shared" si="12"/>
        <v>64.030361045455706</v>
      </c>
      <c r="V32" s="716">
        <f t="shared" si="13"/>
        <v>110.56748207820249</v>
      </c>
      <c r="W32" s="713">
        <f t="shared" si="14"/>
        <v>1</v>
      </c>
      <c r="X32" s="713">
        <f t="shared" si="15"/>
        <v>0</v>
      </c>
      <c r="Y32" s="716">
        <f t="shared" si="16"/>
        <v>64.030361045455706</v>
      </c>
      <c r="Z32" s="711">
        <f t="shared" si="17"/>
        <v>0.79233090766256387</v>
      </c>
      <c r="AA32" s="716">
        <f t="shared" si="18"/>
        <v>23.172539463468333</v>
      </c>
      <c r="AB32" s="716">
        <f t="shared" si="19"/>
        <v>760.89412375683207</v>
      </c>
    </row>
    <row r="33" spans="1:28" x14ac:dyDescent="0.25">
      <c r="A33" s="675" t="str">
        <f>Weather_Site!A31</f>
        <v>Tue</v>
      </c>
      <c r="B33" s="672">
        <f>Weather_Site!B31</f>
        <v>41282</v>
      </c>
      <c r="C33" s="673">
        <f>Weather_Site!C31</f>
        <v>0</v>
      </c>
      <c r="D33" s="413">
        <f>Weather_Site!D31</f>
        <v>20.3</v>
      </c>
      <c r="E33" s="413">
        <f>Weather_Site!E31</f>
        <v>81.900000000000006</v>
      </c>
      <c r="F33" s="674">
        <f>Weather_Site!F31</f>
        <v>345</v>
      </c>
      <c r="G33" s="413">
        <f>Weather_Site!G31</f>
        <v>7</v>
      </c>
      <c r="H33" s="548">
        <f>C$4</f>
        <v>0</v>
      </c>
      <c r="I33" s="413">
        <f t="shared" si="2"/>
        <v>2.3333333333333335</v>
      </c>
      <c r="J33" s="413">
        <f>IF(Weather_Site!M31&lt;180,Weather_Site!M31+180,Weather_Site!M31-180)</f>
        <v>165</v>
      </c>
      <c r="K33" s="711">
        <f t="shared" si="3"/>
        <v>12.535990000000002</v>
      </c>
      <c r="L33" s="711">
        <f t="shared" si="4"/>
        <v>16.527600000000003</v>
      </c>
      <c r="M33" s="711">
        <f t="shared" si="5"/>
        <v>18.315709999999999</v>
      </c>
      <c r="N33" s="711">
        <f t="shared" si="6"/>
        <v>18.315709999999999</v>
      </c>
      <c r="O33" s="713">
        <f t="shared" si="7"/>
        <v>0.1812274969263159</v>
      </c>
      <c r="P33" s="711">
        <f>IF($O$11,Weather_Site!H31,IF(0.191*(Weather_Site!K31+104)*(Weather_Site!J31+1)^1.5/(3.52*(Weather_Site!J31+1)^1.5+Weather_Site!I31-1)&gt;10, 10,0.191*(Weather_Site!K31+104)*(Weather_Site!J31+1)^1.5/(3.52*(Weather_Site!J31+1)^1.5+Weather_Site!I31-1)))</f>
        <v>9.6999999999999993</v>
      </c>
      <c r="Q33" s="713">
        <f t="shared" si="8"/>
        <v>0.99545419154276005</v>
      </c>
      <c r="R33" s="713">
        <f t="shared" si="9"/>
        <v>0.18040367143810382</v>
      </c>
      <c r="S33" s="711">
        <f t="shared" si="10"/>
        <v>1</v>
      </c>
      <c r="T33" s="716">
        <f t="shared" si="11"/>
        <v>21.771589457724279</v>
      </c>
      <c r="U33" s="716">
        <f t="shared" si="12"/>
        <v>54.1671517477523</v>
      </c>
      <c r="V33" s="716">
        <f t="shared" si="13"/>
        <v>95.920282873835504</v>
      </c>
      <c r="W33" s="713">
        <f t="shared" si="14"/>
        <v>1</v>
      </c>
      <c r="X33" s="713">
        <f t="shared" si="15"/>
        <v>0</v>
      </c>
      <c r="Y33" s="716">
        <f t="shared" si="16"/>
        <v>54.1671517477523</v>
      </c>
      <c r="Z33" s="711">
        <f t="shared" si="17"/>
        <v>0.70207043211505493</v>
      </c>
      <c r="AA33" s="716">
        <f t="shared" si="18"/>
        <v>21.302167589960792</v>
      </c>
      <c r="AB33" s="716">
        <f t="shared" si="19"/>
        <v>643.68631993578981</v>
      </c>
    </row>
    <row r="34" spans="1:28" x14ac:dyDescent="0.25">
      <c r="A34" s="23" t="str">
        <f>Weather_Site!A32</f>
        <v>Tue</v>
      </c>
      <c r="B34" s="24">
        <f>Weather_Site!B32</f>
        <v>41282</v>
      </c>
      <c r="C34" s="25">
        <f>Weather_Site!C32</f>
        <v>4.1666666666666664E-2</v>
      </c>
      <c r="D34" s="27">
        <f>Weather_Site!D32</f>
        <v>20.7</v>
      </c>
      <c r="E34" s="27">
        <f>Weather_Site!E32</f>
        <v>77.400000000000006</v>
      </c>
      <c r="F34" s="28">
        <f>Weather_Site!F32</f>
        <v>333</v>
      </c>
      <c r="G34" s="27">
        <f>Weather_Site!G32</f>
        <v>8</v>
      </c>
      <c r="H34" s="548">
        <f>C$4</f>
        <v>0</v>
      </c>
      <c r="I34" s="27">
        <f t="shared" si="2"/>
        <v>2.6666666666666665</v>
      </c>
      <c r="J34" s="738">
        <f>IF(Weather_Site!M32&lt;180,Weather_Site!M32+180,Weather_Site!M32-180)</f>
        <v>153</v>
      </c>
      <c r="K34" s="635">
        <f t="shared" si="3"/>
        <v>11.970509999999999</v>
      </c>
      <c r="L34" s="635">
        <f t="shared" si="4"/>
        <v>15.749100000000002</v>
      </c>
      <c r="M34" s="635">
        <f t="shared" si="5"/>
        <v>17.405390000000001</v>
      </c>
      <c r="N34" s="635">
        <f t="shared" si="6"/>
        <v>17.405390000000001</v>
      </c>
      <c r="O34" s="636">
        <f t="shared" si="7"/>
        <v>0.18654320638207533</v>
      </c>
      <c r="P34" s="635">
        <f>IF($O$11,Weather_Site!H32,IF(0.191*(Weather_Site!K32+104)*(Weather_Site!J32+1)^1.5/(3.52*(Weather_Site!J32+1)^1.5+Weather_Site!I32-1)&gt;10, 10,0.191*(Weather_Site!K32+104)*(Weather_Site!J32+1)^1.5/(3.52*(Weather_Site!J32+1)^1.5+Weather_Site!I32-1)))</f>
        <v>9.6999999999999993</v>
      </c>
      <c r="Q34" s="636">
        <f t="shared" si="8"/>
        <v>0.99545419154276005</v>
      </c>
      <c r="R34" s="636">
        <f t="shared" si="9"/>
        <v>0.18569521669686304</v>
      </c>
      <c r="S34" s="635">
        <f t="shared" si="10"/>
        <v>1</v>
      </c>
      <c r="T34" s="707">
        <f t="shared" si="11"/>
        <v>26.27659043097897</v>
      </c>
      <c r="U34" s="707">
        <f t="shared" si="12"/>
        <v>67.036136049074116</v>
      </c>
      <c r="V34" s="707">
        <f t="shared" si="13"/>
        <v>115.75784753011295</v>
      </c>
      <c r="W34" s="636">
        <f t="shared" si="14"/>
        <v>1</v>
      </c>
      <c r="X34" s="636">
        <f t="shared" si="15"/>
        <v>0</v>
      </c>
      <c r="Y34" s="707">
        <f t="shared" si="16"/>
        <v>67.036136049074116</v>
      </c>
      <c r="Z34" s="635">
        <f t="shared" si="17"/>
        <v>0.81905099658593727</v>
      </c>
      <c r="AA34" s="707">
        <f t="shared" si="18"/>
        <v>24.260327174679396</v>
      </c>
      <c r="AB34" s="707">
        <f t="shared" si="19"/>
        <v>796.61275004983077</v>
      </c>
    </row>
    <row r="35" spans="1:28" x14ac:dyDescent="0.25">
      <c r="A35" s="23" t="str">
        <f>Weather_Site!A33</f>
        <v>Tue</v>
      </c>
      <c r="B35" s="24">
        <f>Weather_Site!B33</f>
        <v>41282</v>
      </c>
      <c r="C35" s="25">
        <f>Weather_Site!C33</f>
        <v>8.3333333333333329E-2</v>
      </c>
      <c r="D35" s="27">
        <f>Weather_Site!D33</f>
        <v>21.6</v>
      </c>
      <c r="E35" s="27">
        <f>Weather_Site!E33</f>
        <v>70.099999999999994</v>
      </c>
      <c r="F35" s="28">
        <f>Weather_Site!F33</f>
        <v>327</v>
      </c>
      <c r="G35" s="27">
        <f>Weather_Site!G33</f>
        <v>9</v>
      </c>
      <c r="H35" s="548">
        <f>C$4</f>
        <v>0</v>
      </c>
      <c r="I35" s="27">
        <f t="shared" si="2"/>
        <v>3</v>
      </c>
      <c r="J35" s="738">
        <f>IF(Weather_Site!M33&lt;180,Weather_Site!M33+180,Weather_Site!M33-180)</f>
        <v>147</v>
      </c>
      <c r="K35" s="635">
        <f t="shared" si="3"/>
        <v>11.04848</v>
      </c>
      <c r="L35" s="635">
        <f t="shared" si="4"/>
        <v>14.4749</v>
      </c>
      <c r="M35" s="635">
        <f t="shared" si="5"/>
        <v>15.916520000000002</v>
      </c>
      <c r="N35" s="635">
        <f t="shared" si="6"/>
        <v>15.916520000000002</v>
      </c>
      <c r="O35" s="636">
        <f t="shared" si="7"/>
        <v>0.20575081325446654</v>
      </c>
      <c r="P35" s="635">
        <f>IF($O$11,Weather_Site!H33,IF(0.191*(Weather_Site!K33+104)*(Weather_Site!J33+1)^1.5/(3.52*(Weather_Site!J33+1)^1.5+Weather_Site!I33-1)&gt;10, 10,0.191*(Weather_Site!K33+104)*(Weather_Site!J33+1)^1.5/(3.52*(Weather_Site!J33+1)^1.5+Weather_Site!I33-1)))</f>
        <v>9.6999999999999993</v>
      </c>
      <c r="Q35" s="636">
        <f t="shared" si="8"/>
        <v>0.99545419154276005</v>
      </c>
      <c r="R35" s="636">
        <f t="shared" si="9"/>
        <v>0.20481550946749039</v>
      </c>
      <c r="S35" s="635">
        <f t="shared" si="10"/>
        <v>1</v>
      </c>
      <c r="T35" s="707">
        <f t="shared" si="11"/>
        <v>33.183846998253422</v>
      </c>
      <c r="U35" s="707">
        <f t="shared" si="12"/>
        <v>85.95086661548585</v>
      </c>
      <c r="V35" s="707">
        <f t="shared" si="13"/>
        <v>146.90938570606454</v>
      </c>
      <c r="W35" s="636">
        <f t="shared" si="14"/>
        <v>1</v>
      </c>
      <c r="X35" s="636">
        <f t="shared" si="15"/>
        <v>0</v>
      </c>
      <c r="Y35" s="707">
        <f t="shared" si="16"/>
        <v>85.95086661548585</v>
      </c>
      <c r="Z35" s="635">
        <f t="shared" si="17"/>
        <v>0.98028530643950573</v>
      </c>
      <c r="AA35" s="707">
        <f t="shared" si="18"/>
        <v>28.807771355237247</v>
      </c>
      <c r="AB35" s="707">
        <f t="shared" si="19"/>
        <v>1021.3827982806903</v>
      </c>
    </row>
    <row r="36" spans="1:28" x14ac:dyDescent="0.25">
      <c r="A36" s="23" t="str">
        <f>Weather_Site!A34</f>
        <v>Tue</v>
      </c>
      <c r="B36" s="24">
        <f>Weather_Site!B34</f>
        <v>41282</v>
      </c>
      <c r="C36" s="25">
        <f>Weather_Site!C34</f>
        <v>0.125</v>
      </c>
      <c r="D36" s="27">
        <f>Weather_Site!D34</f>
        <v>23.1</v>
      </c>
      <c r="E36" s="27">
        <f>Weather_Site!E34</f>
        <v>60</v>
      </c>
      <c r="F36" s="28">
        <f>Weather_Site!F34</f>
        <v>319</v>
      </c>
      <c r="G36" s="27">
        <f>Weather_Site!G34</f>
        <v>10</v>
      </c>
      <c r="H36" s="548">
        <f>C$4</f>
        <v>0</v>
      </c>
      <c r="I36" s="27">
        <f t="shared" si="2"/>
        <v>3.3333333333333335</v>
      </c>
      <c r="J36" s="738">
        <f>IF(Weather_Site!M34&lt;180,Weather_Site!M34+180,Weather_Site!M34-180)</f>
        <v>139</v>
      </c>
      <c r="K36" s="635">
        <f t="shared" si="3"/>
        <v>9.7680299999999995</v>
      </c>
      <c r="L36" s="635">
        <f t="shared" si="4"/>
        <v>12.7005</v>
      </c>
      <c r="M36" s="635">
        <f t="shared" si="5"/>
        <v>13.844270000000002</v>
      </c>
      <c r="N36" s="635">
        <f t="shared" si="6"/>
        <v>13.844270000000002</v>
      </c>
      <c r="O36" s="636">
        <f t="shared" si="7"/>
        <v>0.26797255831378219</v>
      </c>
      <c r="P36" s="635">
        <f>IF($O$11,Weather_Site!H34,IF(0.191*(Weather_Site!K34+104)*(Weather_Site!J34+1)^1.5/(3.52*(Weather_Site!J34+1)^1.5+Weather_Site!I34-1)&gt;10, 10,0.191*(Weather_Site!K34+104)*(Weather_Site!J34+1)^1.5/(3.52*(Weather_Site!J34+1)^1.5+Weather_Site!I34-1)))</f>
        <v>9.6999999999999993</v>
      </c>
      <c r="Q36" s="636">
        <f t="shared" si="8"/>
        <v>0.99545419154276005</v>
      </c>
      <c r="R36" s="636">
        <f t="shared" si="9"/>
        <v>0.26675440639189119</v>
      </c>
      <c r="S36" s="635">
        <f t="shared" si="10"/>
        <v>1</v>
      </c>
      <c r="T36" s="707">
        <f t="shared" si="11"/>
        <v>48.624228979361718</v>
      </c>
      <c r="U36" s="707">
        <f t="shared" si="12"/>
        <v>127.13827556303266</v>
      </c>
      <c r="V36" s="707">
        <f t="shared" si="13"/>
        <v>216.92434165308126</v>
      </c>
      <c r="W36" s="636">
        <f t="shared" si="14"/>
        <v>1</v>
      </c>
      <c r="X36" s="636">
        <f t="shared" si="15"/>
        <v>0</v>
      </c>
      <c r="Y36" s="707">
        <f t="shared" si="16"/>
        <v>127.13827556303266</v>
      </c>
      <c r="Z36" s="635">
        <f t="shared" si="17"/>
        <v>1.3010120888907608</v>
      </c>
      <c r="AA36" s="707">
        <f t="shared" si="18"/>
        <v>39.68110972628984</v>
      </c>
      <c r="AB36" s="707">
        <f t="shared" si="19"/>
        <v>1510.8265079407049</v>
      </c>
    </row>
    <row r="37" spans="1:28" x14ac:dyDescent="0.25">
      <c r="A37" s="23" t="str">
        <f>Weather_Site!A35</f>
        <v>Tue</v>
      </c>
      <c r="B37" s="24">
        <f>Weather_Site!B35</f>
        <v>41282</v>
      </c>
      <c r="C37" s="25">
        <f>Weather_Site!C35</f>
        <v>0.16666666666666666</v>
      </c>
      <c r="D37" s="27">
        <f>Weather_Site!D35</f>
        <v>24.7</v>
      </c>
      <c r="E37" s="27">
        <f>Weather_Site!E35</f>
        <v>51.1</v>
      </c>
      <c r="F37" s="28">
        <f>Weather_Site!F35</f>
        <v>312</v>
      </c>
      <c r="G37" s="27">
        <f>Weather_Site!G35</f>
        <v>11</v>
      </c>
      <c r="H37" s="548">
        <f>C$4</f>
        <v>0</v>
      </c>
      <c r="I37" s="27">
        <f t="shared" si="2"/>
        <v>3.6666666666666665</v>
      </c>
      <c r="J37" s="738">
        <f>IF(Weather_Site!M35&lt;180,Weather_Site!M35+180,Weather_Site!M35-180)</f>
        <v>132</v>
      </c>
      <c r="K37" s="635">
        <f t="shared" si="3"/>
        <v>8.6345099999999988</v>
      </c>
      <c r="L37" s="635">
        <f t="shared" si="4"/>
        <v>11.124400000000001</v>
      </c>
      <c r="M37" s="635">
        <f t="shared" si="5"/>
        <v>12.00479</v>
      </c>
      <c r="N37" s="635">
        <f t="shared" si="6"/>
        <v>12.00479</v>
      </c>
      <c r="O37" s="636">
        <f t="shared" si="7"/>
        <v>0.36552053188265021</v>
      </c>
      <c r="P37" s="635">
        <f>IF($O$11,Weather_Site!H35,IF(0.191*(Weather_Site!K35+104)*(Weather_Site!J35+1)^1.5/(3.52*(Weather_Site!J35+1)^1.5+Weather_Site!I35-1)&gt;10, 10,0.191*(Weather_Site!K35+104)*(Weather_Site!J35+1)^1.5/(3.52*(Weather_Site!J35+1)^1.5+Weather_Site!I35-1)))</f>
        <v>9.6999999999999993</v>
      </c>
      <c r="Q37" s="636">
        <f t="shared" si="8"/>
        <v>0.99545419154276005</v>
      </c>
      <c r="R37" s="636">
        <f t="shared" si="9"/>
        <v>0.36385894555752324</v>
      </c>
      <c r="S37" s="635">
        <f t="shared" si="10"/>
        <v>1</v>
      </c>
      <c r="T37" s="707">
        <f t="shared" si="11"/>
        <v>73.619765491045257</v>
      </c>
      <c r="U37" s="707">
        <f t="shared" si="12"/>
        <v>193.63378814891303</v>
      </c>
      <c r="V37" s="707">
        <f t="shared" si="13"/>
        <v>331.46678855199991</v>
      </c>
      <c r="W37" s="636">
        <f t="shared" si="14"/>
        <v>1</v>
      </c>
      <c r="X37" s="636">
        <f t="shared" si="15"/>
        <v>0</v>
      </c>
      <c r="Y37" s="707">
        <f t="shared" si="16"/>
        <v>193.63378814891303</v>
      </c>
      <c r="Z37" s="635">
        <f t="shared" si="17"/>
        <v>1.7635059149506063</v>
      </c>
      <c r="AA37" s="707">
        <f t="shared" si="18"/>
        <v>56.545318347422331</v>
      </c>
      <c r="AB37" s="707">
        <f t="shared" si="19"/>
        <v>2301.0148491695832</v>
      </c>
    </row>
    <row r="38" spans="1:28" x14ac:dyDescent="0.25">
      <c r="A38" s="23" t="str">
        <f>Weather_Site!A36</f>
        <v>Tue</v>
      </c>
      <c r="B38" s="24">
        <f>Weather_Site!B36</f>
        <v>41282</v>
      </c>
      <c r="C38" s="25">
        <f>Weather_Site!C36</f>
        <v>0.20833333333333334</v>
      </c>
      <c r="D38" s="27">
        <f>Weather_Site!D36</f>
        <v>25.9</v>
      </c>
      <c r="E38" s="27">
        <f>Weather_Site!E36</f>
        <v>44.9</v>
      </c>
      <c r="F38" s="28">
        <f>Weather_Site!F36</f>
        <v>307</v>
      </c>
      <c r="G38" s="27">
        <f>Weather_Site!G36</f>
        <v>12</v>
      </c>
      <c r="H38" s="548">
        <f>C$4</f>
        <v>0</v>
      </c>
      <c r="I38" s="27">
        <f t="shared" si="2"/>
        <v>4</v>
      </c>
      <c r="J38" s="738">
        <f>IF(Weather_Site!M36&lt;180,Weather_Site!M36+180,Weather_Site!M36-180)</f>
        <v>127</v>
      </c>
      <c r="K38" s="635">
        <f t="shared" si="3"/>
        <v>7.8432700000000004</v>
      </c>
      <c r="L38" s="635">
        <f t="shared" si="4"/>
        <v>10.022600000000001</v>
      </c>
      <c r="M38" s="635">
        <f t="shared" si="5"/>
        <v>10.71923</v>
      </c>
      <c r="N38" s="635">
        <f t="shared" si="6"/>
        <v>10.71923</v>
      </c>
      <c r="O38" s="636">
        <f t="shared" si="7"/>
        <v>0.4566232395689977</v>
      </c>
      <c r="P38" s="635">
        <f>IF($O$11,Weather_Site!H36,IF(0.191*(Weather_Site!K36+104)*(Weather_Site!J36+1)^1.5/(3.52*(Weather_Site!J36+1)^1.5+Weather_Site!I36-1)&gt;10, 10,0.191*(Weather_Site!K36+104)*(Weather_Site!J36+1)^1.5/(3.52*(Weather_Site!J36+1)^1.5+Weather_Site!I36-1)))</f>
        <v>9.6999999999999993</v>
      </c>
      <c r="Q38" s="636">
        <f t="shared" si="8"/>
        <v>0.99545419154276005</v>
      </c>
      <c r="R38" s="636">
        <f t="shared" si="9"/>
        <v>0.45454751778479263</v>
      </c>
      <c r="S38" s="635">
        <f t="shared" si="10"/>
        <v>1</v>
      </c>
      <c r="T38" s="707">
        <f t="shared" si="11"/>
        <v>100.99851619443892</v>
      </c>
      <c r="U38" s="707">
        <f t="shared" si="12"/>
        <v>266.60206070545365</v>
      </c>
      <c r="V38" s="707">
        <f t="shared" si="13"/>
        <v>459.30694397780428</v>
      </c>
      <c r="W38" s="636">
        <f t="shared" si="14"/>
        <v>1</v>
      </c>
      <c r="X38" s="636">
        <f t="shared" si="15"/>
        <v>0</v>
      </c>
      <c r="Y38" s="707">
        <f t="shared" si="16"/>
        <v>266.60206070545365</v>
      </c>
      <c r="Z38" s="635">
        <f t="shared" si="17"/>
        <v>2.2222292876718597</v>
      </c>
      <c r="AA38" s="707">
        <f t="shared" si="18"/>
        <v>73.145868279591099</v>
      </c>
      <c r="AB38" s="707">
        <f t="shared" si="19"/>
        <v>3168.1211547164744</v>
      </c>
    </row>
    <row r="39" spans="1:28" x14ac:dyDescent="0.25">
      <c r="A39" s="675" t="str">
        <f>Weather_Site!A37</f>
        <v>Tue</v>
      </c>
      <c r="B39" s="672">
        <f>Weather_Site!B37</f>
        <v>41282</v>
      </c>
      <c r="C39" s="673">
        <f>Weather_Site!C37</f>
        <v>0.25</v>
      </c>
      <c r="D39" s="413">
        <f>Weather_Site!D37</f>
        <v>23.2</v>
      </c>
      <c r="E39" s="413">
        <f>Weather_Site!E37</f>
        <v>52</v>
      </c>
      <c r="F39" s="674">
        <f>Weather_Site!F37</f>
        <v>306</v>
      </c>
      <c r="G39" s="413">
        <f>Weather_Site!G37</f>
        <v>13</v>
      </c>
      <c r="H39" s="548">
        <f>C$4</f>
        <v>0</v>
      </c>
      <c r="I39" s="413">
        <f t="shared" si="2"/>
        <v>4.333333333333333</v>
      </c>
      <c r="J39" s="413">
        <f>IF(Weather_Site!M37&lt;180,Weather_Site!M37+180,Weather_Site!M37-180)</f>
        <v>126</v>
      </c>
      <c r="K39" s="711">
        <f t="shared" si="3"/>
        <v>8.7741600000000002</v>
      </c>
      <c r="L39" s="711">
        <f t="shared" si="4"/>
        <v>11.343999999999999</v>
      </c>
      <c r="M39" s="711">
        <f t="shared" si="5"/>
        <v>12.255440000000002</v>
      </c>
      <c r="N39" s="711">
        <f t="shared" si="6"/>
        <v>12.255440000000002</v>
      </c>
      <c r="O39" s="713">
        <f t="shared" si="7"/>
        <v>0.34985752588440489</v>
      </c>
      <c r="P39" s="711">
        <f>IF($O$11,Weather_Site!H37,IF(0.191*(Weather_Site!K37+104)*(Weather_Site!J37+1)^1.5/(3.52*(Weather_Site!J37+1)^1.5+Weather_Site!I37-1)&gt;10, 10,0.191*(Weather_Site!K37+104)*(Weather_Site!J37+1)^1.5/(3.52*(Weather_Site!J37+1)^1.5+Weather_Site!I37-1)))</f>
        <v>9.6999999999999993</v>
      </c>
      <c r="Q39" s="713">
        <f t="shared" si="8"/>
        <v>0.99545419154276005</v>
      </c>
      <c r="R39" s="713">
        <f t="shared" si="9"/>
        <v>0.3482671405844105</v>
      </c>
      <c r="S39" s="711">
        <f t="shared" si="10"/>
        <v>1</v>
      </c>
      <c r="T39" s="716">
        <f t="shared" si="11"/>
        <v>84.245314885338317</v>
      </c>
      <c r="U39" s="716">
        <f t="shared" si="12"/>
        <v>222.83233649088515</v>
      </c>
      <c r="V39" s="716">
        <f t="shared" si="13"/>
        <v>387.12179509861051</v>
      </c>
      <c r="W39" s="713">
        <f t="shared" si="14"/>
        <v>1</v>
      </c>
      <c r="X39" s="713">
        <f t="shared" si="15"/>
        <v>0</v>
      </c>
      <c r="Y39" s="716">
        <f t="shared" si="16"/>
        <v>222.83233649088515</v>
      </c>
      <c r="Z39" s="711">
        <f t="shared" si="17"/>
        <v>1.9519909682432153</v>
      </c>
      <c r="AA39" s="716">
        <f t="shared" si="18"/>
        <v>57.65092013114073</v>
      </c>
      <c r="AB39" s="716">
        <f t="shared" si="19"/>
        <v>2647.9909319666849</v>
      </c>
    </row>
    <row r="40" spans="1:28" x14ac:dyDescent="0.25">
      <c r="A40" s="675" t="str">
        <f>Weather_Site!A38</f>
        <v>Tue</v>
      </c>
      <c r="B40" s="672">
        <f>Weather_Site!B38</f>
        <v>41282</v>
      </c>
      <c r="C40" s="673">
        <f>Weather_Site!C38</f>
        <v>0.29166666666666669</v>
      </c>
      <c r="D40" s="413">
        <f>Weather_Site!D38</f>
        <v>26.2</v>
      </c>
      <c r="E40" s="413">
        <f>Weather_Site!E38</f>
        <v>43.2</v>
      </c>
      <c r="F40" s="674">
        <f>Weather_Site!F38</f>
        <v>305</v>
      </c>
      <c r="G40" s="413">
        <f>Weather_Site!G38</f>
        <v>14</v>
      </c>
      <c r="H40" s="548">
        <f>C$4</f>
        <v>0</v>
      </c>
      <c r="I40" s="413">
        <f t="shared" si="2"/>
        <v>4.666666666666667</v>
      </c>
      <c r="J40" s="413">
        <f>IF(Weather_Site!M38&lt;180,Weather_Site!M38+180,Weather_Site!M38-180)</f>
        <v>125</v>
      </c>
      <c r="K40" s="711">
        <f t="shared" si="3"/>
        <v>7.6268600000000015</v>
      </c>
      <c r="L40" s="711">
        <f t="shared" si="4"/>
        <v>9.7218</v>
      </c>
      <c r="M40" s="711">
        <f t="shared" si="5"/>
        <v>10.36814</v>
      </c>
      <c r="N40" s="711">
        <f t="shared" si="6"/>
        <v>10.36814</v>
      </c>
      <c r="O40" s="713">
        <f t="shared" si="7"/>
        <v>0.48433235495882426</v>
      </c>
      <c r="P40" s="711">
        <f>IF($O$11,Weather_Site!H38,IF(0.191*(Weather_Site!K38+104)*(Weather_Site!J38+1)^1.5/(3.52*(Weather_Site!J38+1)^1.5+Weather_Site!I38-1)&gt;10, 10,0.191*(Weather_Site!K38+104)*(Weather_Site!J38+1)^1.5/(3.52*(Weather_Site!J38+1)^1.5+Weather_Site!I38-1)))</f>
        <v>9.6999999999999993</v>
      </c>
      <c r="Q40" s="713">
        <f t="shared" si="8"/>
        <v>0.99545419154276005</v>
      </c>
      <c r="R40" s="713">
        <f t="shared" si="9"/>
        <v>0.4821306728435375</v>
      </c>
      <c r="S40" s="711">
        <f t="shared" si="10"/>
        <v>1</v>
      </c>
      <c r="T40" s="716">
        <f t="shared" si="11"/>
        <v>126.05614976704585</v>
      </c>
      <c r="U40" s="716">
        <f t="shared" si="12"/>
        <v>333.73980047978336</v>
      </c>
      <c r="V40" s="716">
        <f t="shared" si="13"/>
        <v>585.38400855003408</v>
      </c>
      <c r="W40" s="713">
        <f t="shared" si="14"/>
        <v>1</v>
      </c>
      <c r="X40" s="713">
        <f t="shared" si="15"/>
        <v>2.4561272699121265E-7</v>
      </c>
      <c r="Y40" s="716">
        <f t="shared" si="16"/>
        <v>333.73986228680349</v>
      </c>
      <c r="Z40" s="711">
        <f t="shared" si="17"/>
        <v>2.6140482450621487</v>
      </c>
      <c r="AA40" s="716">
        <f t="shared" si="18"/>
        <v>81.686866625906475</v>
      </c>
      <c r="AB40" s="716">
        <f t="shared" si="19"/>
        <v>3965.9420301748478</v>
      </c>
    </row>
    <row r="41" spans="1:28" x14ac:dyDescent="0.25">
      <c r="A41" s="675" t="str">
        <f>Weather_Site!A39</f>
        <v>Tue</v>
      </c>
      <c r="B41" s="672">
        <f>Weather_Site!B39</f>
        <v>41282</v>
      </c>
      <c r="C41" s="673">
        <f>Weather_Site!C39</f>
        <v>0.33333333333333331</v>
      </c>
      <c r="D41" s="413">
        <f>Weather_Site!D39</f>
        <v>29.2</v>
      </c>
      <c r="E41" s="413">
        <f>Weather_Site!E39</f>
        <v>34.700000000000003</v>
      </c>
      <c r="F41" s="674">
        <f>Weather_Site!F39</f>
        <v>290</v>
      </c>
      <c r="G41" s="413">
        <f>Weather_Site!G39</f>
        <v>39</v>
      </c>
      <c r="H41" s="548">
        <f>C$4</f>
        <v>0</v>
      </c>
      <c r="I41" s="413">
        <f t="shared" si="2"/>
        <v>13</v>
      </c>
      <c r="J41" s="413">
        <f>IF(Weather_Site!M39&lt;180,Weather_Site!M39+180,Weather_Site!M39-180)</f>
        <v>110</v>
      </c>
      <c r="K41" s="711">
        <f t="shared" si="3"/>
        <v>6.5167599999999997</v>
      </c>
      <c r="L41" s="711">
        <f t="shared" si="4"/>
        <v>8.1503000000000014</v>
      </c>
      <c r="M41" s="711">
        <f t="shared" si="5"/>
        <v>8.5402400000000007</v>
      </c>
      <c r="N41" s="711">
        <f t="shared" si="6"/>
        <v>8.1503000000000014</v>
      </c>
      <c r="O41" s="713">
        <f t="shared" si="7"/>
        <v>0.67812671655538614</v>
      </c>
      <c r="P41" s="711">
        <f>IF($O$11,Weather_Site!H39,IF(0.191*(Weather_Site!K39+104)*(Weather_Site!J39+1)^1.5/(3.52*(Weather_Site!J39+1)^1.5+Weather_Site!I39-1)&gt;10, 10,0.191*(Weather_Site!K39+104)*(Weather_Site!J39+1)^1.5/(3.52*(Weather_Site!J39+1)^1.5+Weather_Site!I39-1)))</f>
        <v>9.6999999999999993</v>
      </c>
      <c r="Q41" s="713">
        <f t="shared" si="8"/>
        <v>0.99545419154276005</v>
      </c>
      <c r="R41" s="713">
        <f t="shared" si="9"/>
        <v>0.67504408239218827</v>
      </c>
      <c r="S41" s="711">
        <f t="shared" si="10"/>
        <v>1</v>
      </c>
      <c r="T41" s="716">
        <f t="shared" si="11"/>
        <v>488.7970599840782</v>
      </c>
      <c r="U41" s="716">
        <f t="shared" si="12"/>
        <v>1243.7447490310967</v>
      </c>
      <c r="V41" s="716">
        <f t="shared" si="13"/>
        <v>2777.4884750924602</v>
      </c>
      <c r="W41" s="713">
        <f t="shared" si="14"/>
        <v>1</v>
      </c>
      <c r="X41" s="713">
        <f t="shared" si="15"/>
        <v>6.5511699869453044E-2</v>
      </c>
      <c r="Y41" s="716">
        <f t="shared" si="16"/>
        <v>1344.2229076894853</v>
      </c>
      <c r="Z41" s="711">
        <f t="shared" si="17"/>
        <v>7.1577133081880602</v>
      </c>
      <c r="AA41" s="716">
        <f t="shared" si="18"/>
        <v>140.08742628803674</v>
      </c>
      <c r="AB41" s="716">
        <f t="shared" si="19"/>
        <v>15973.848886376718</v>
      </c>
    </row>
    <row r="42" spans="1:28" x14ac:dyDescent="0.25">
      <c r="A42" s="675" t="str">
        <f>Weather_Site!A40</f>
        <v>Tue</v>
      </c>
      <c r="B42" s="672">
        <f>Weather_Site!B40</f>
        <v>41282</v>
      </c>
      <c r="C42" s="673">
        <f>Weather_Site!C40</f>
        <v>0.375</v>
      </c>
      <c r="D42" s="413">
        <f>Weather_Site!D40</f>
        <v>32.4</v>
      </c>
      <c r="E42" s="413">
        <f>Weather_Site!E40</f>
        <v>25.1</v>
      </c>
      <c r="F42" s="674">
        <f>Weather_Site!F40</f>
        <v>291</v>
      </c>
      <c r="G42" s="413">
        <f>Weather_Site!G40</f>
        <v>42</v>
      </c>
      <c r="H42" s="548">
        <f>C$4</f>
        <v>0</v>
      </c>
      <c r="I42" s="413">
        <f t="shared" si="2"/>
        <v>14</v>
      </c>
      <c r="J42" s="413">
        <f>IF(Weather_Site!M40&lt;180,Weather_Site!M40+180,Weather_Site!M40-180)</f>
        <v>111</v>
      </c>
      <c r="K42" s="711">
        <f t="shared" si="3"/>
        <v>5.2665199999999999</v>
      </c>
      <c r="L42" s="711">
        <f t="shared" si="4"/>
        <v>6.3839000000000006</v>
      </c>
      <c r="M42" s="711">
        <f t="shared" si="5"/>
        <v>6.4848800000000013</v>
      </c>
      <c r="N42" s="711">
        <f t="shared" si="6"/>
        <v>6.3839000000000006</v>
      </c>
      <c r="O42" s="713">
        <f t="shared" si="7"/>
        <v>0.8367861528927949</v>
      </c>
      <c r="P42" s="711">
        <f>IF($O$11,Weather_Site!H40,IF(0.191*(Weather_Site!K40+104)*(Weather_Site!J40+1)^1.5/(3.52*(Weather_Site!J40+1)^1.5+Weather_Site!I40-1)&gt;10, 10,0.191*(Weather_Site!K40+104)*(Weather_Site!J40+1)^1.5/(3.52*(Weather_Site!J40+1)^1.5+Weather_Site!I40-1)))</f>
        <v>9.6999999999999993</v>
      </c>
      <c r="Q42" s="713">
        <f t="shared" si="8"/>
        <v>0.99545419154276005</v>
      </c>
      <c r="R42" s="713">
        <f t="shared" si="9"/>
        <v>0.83298228332207358</v>
      </c>
      <c r="S42" s="711">
        <f t="shared" si="10"/>
        <v>1</v>
      </c>
      <c r="T42" s="716">
        <f t="shared" si="11"/>
        <v>647.65534370459557</v>
      </c>
      <c r="U42" s="716">
        <f t="shared" si="12"/>
        <v>1639.5988829082371</v>
      </c>
      <c r="V42" s="716">
        <f t="shared" si="13"/>
        <v>3743.6640173789192</v>
      </c>
      <c r="W42" s="713">
        <f t="shared" si="14"/>
        <v>1</v>
      </c>
      <c r="X42" s="713">
        <f t="shared" si="15"/>
        <v>0.92214584263141275</v>
      </c>
      <c r="Y42" s="716">
        <f t="shared" si="16"/>
        <v>3579.8537992860811</v>
      </c>
      <c r="Z42" s="711">
        <f t="shared" si="17"/>
        <v>14.532293488808067</v>
      </c>
      <c r="AA42" s="716">
        <f t="shared" si="18"/>
        <v>349.02248257605498</v>
      </c>
      <c r="AB42" s="716">
        <f t="shared" si="19"/>
        <v>42540.595981516257</v>
      </c>
    </row>
    <row r="43" spans="1:28" x14ac:dyDescent="0.25">
      <c r="A43" s="675" t="str">
        <f>Weather_Site!A41</f>
        <v>Tue</v>
      </c>
      <c r="B43" s="672">
        <f>Weather_Site!B41</f>
        <v>41282</v>
      </c>
      <c r="C43" s="673">
        <f>Weather_Site!C41</f>
        <v>0.41666666666666669</v>
      </c>
      <c r="D43" s="413">
        <f>Weather_Site!D41</f>
        <v>35.700000000000003</v>
      </c>
      <c r="E43" s="413">
        <f>Weather_Site!E41</f>
        <v>17.5</v>
      </c>
      <c r="F43" s="674">
        <f>Weather_Site!F41</f>
        <v>291</v>
      </c>
      <c r="G43" s="413">
        <f>Weather_Site!G41</f>
        <v>44</v>
      </c>
      <c r="H43" s="548">
        <f>C$4</f>
        <v>0</v>
      </c>
      <c r="I43" s="413">
        <f t="shared" si="2"/>
        <v>14.666666666666666</v>
      </c>
      <c r="J43" s="413">
        <f>IF(Weather_Site!M41&lt;180,Weather_Site!M41+180,Weather_Site!M41-180)</f>
        <v>111</v>
      </c>
      <c r="K43" s="711">
        <f t="shared" si="3"/>
        <v>4.2624099999999991</v>
      </c>
      <c r="L43" s="711">
        <f t="shared" si="4"/>
        <v>4.9510000000000005</v>
      </c>
      <c r="M43" s="711">
        <f t="shared" si="5"/>
        <v>4.8206899999999999</v>
      </c>
      <c r="N43" s="711">
        <f t="shared" si="6"/>
        <v>4.9510000000000005</v>
      </c>
      <c r="O43" s="713">
        <f t="shared" si="7"/>
        <v>0.94798542770885375</v>
      </c>
      <c r="P43" s="711">
        <f>IF($O$11,Weather_Site!H41,IF(0.191*(Weather_Site!K41+104)*(Weather_Site!J41+1)^1.5/(3.52*(Weather_Site!J41+1)^1.5+Weather_Site!I41-1)&gt;10, 10,0.191*(Weather_Site!K41+104)*(Weather_Site!J41+1)^1.5/(3.52*(Weather_Site!J41+1)^1.5+Weather_Site!I41-1)))</f>
        <v>9.6999999999999993</v>
      </c>
      <c r="Q43" s="713">
        <f t="shared" si="8"/>
        <v>0.99545419154276005</v>
      </c>
      <c r="R43" s="713">
        <f t="shared" si="9"/>
        <v>0.94367606753423461</v>
      </c>
      <c r="S43" s="711">
        <f t="shared" si="10"/>
        <v>1</v>
      </c>
      <c r="T43" s="716">
        <f t="shared" si="11"/>
        <v>767.16720736915158</v>
      </c>
      <c r="U43" s="716">
        <f t="shared" si="12"/>
        <v>1935.7896237484288</v>
      </c>
      <c r="V43" s="716">
        <f t="shared" si="13"/>
        <v>4482.8265100516601</v>
      </c>
      <c r="W43" s="713">
        <f t="shared" si="14"/>
        <v>1</v>
      </c>
      <c r="X43" s="713">
        <f t="shared" si="15"/>
        <v>0.99761646550951821</v>
      </c>
      <c r="Y43" s="716">
        <f t="shared" si="16"/>
        <v>4476.7555597846276</v>
      </c>
      <c r="Z43" s="711">
        <f t="shared" si="17"/>
        <v>17.081896260518846</v>
      </c>
      <c r="AA43" s="716">
        <f t="shared" si="18"/>
        <v>418.48223524759078</v>
      </c>
      <c r="AB43" s="716">
        <f t="shared" si="19"/>
        <v>53198.778568773982</v>
      </c>
    </row>
    <row r="44" spans="1:28" x14ac:dyDescent="0.25">
      <c r="A44" s="23" t="str">
        <f>Weather_Site!A42</f>
        <v>Tue</v>
      </c>
      <c r="B44" s="24">
        <f>Weather_Site!B42</f>
        <v>41282</v>
      </c>
      <c r="C44" s="25">
        <f>Weather_Site!C42</f>
        <v>0.45833333333333331</v>
      </c>
      <c r="D44" s="27">
        <f>Weather_Site!D42</f>
        <v>38.799999999999997</v>
      </c>
      <c r="E44" s="27">
        <f>Weather_Site!E42</f>
        <v>12.8</v>
      </c>
      <c r="F44" s="28">
        <f>Weather_Site!F42</f>
        <v>291</v>
      </c>
      <c r="G44" s="27">
        <f>Weather_Site!G42</f>
        <v>45</v>
      </c>
      <c r="H44" s="548">
        <f>C$4</f>
        <v>0</v>
      </c>
      <c r="I44" s="27">
        <f t="shared" si="2"/>
        <v>15</v>
      </c>
      <c r="J44" s="738">
        <f>IF(Weather_Site!M42&lt;180,Weather_Site!M42+180,Weather_Site!M42-180)</f>
        <v>111</v>
      </c>
      <c r="K44" s="635">
        <f t="shared" si="3"/>
        <v>3.6216400000000002</v>
      </c>
      <c r="L44" s="635">
        <f t="shared" si="4"/>
        <v>4.0172000000000008</v>
      </c>
      <c r="M44" s="635">
        <f t="shared" si="5"/>
        <v>3.7403599999999999</v>
      </c>
      <c r="N44" s="635">
        <f t="shared" si="6"/>
        <v>4.0172000000000008</v>
      </c>
      <c r="O44" s="636">
        <f t="shared" si="7"/>
        <v>1</v>
      </c>
      <c r="P44" s="635">
        <f>IF($O$11,Weather_Site!H42,IF(0.191*(Weather_Site!K42+104)*(Weather_Site!J42+1)^1.5/(3.52*(Weather_Site!J42+1)^1.5+Weather_Site!I42-1)&gt;10, 10,0.191*(Weather_Site!K42+104)*(Weather_Site!J42+1)^1.5/(3.52*(Weather_Site!J42+1)^1.5+Weather_Site!I42-1)))</f>
        <v>9.8000000000000007</v>
      </c>
      <c r="Q44" s="636">
        <f t="shared" si="8"/>
        <v>0.99655637024742383</v>
      </c>
      <c r="R44" s="636">
        <f t="shared" si="9"/>
        <v>0.99655637024742383</v>
      </c>
      <c r="S44" s="635">
        <f t="shared" si="10"/>
        <v>1</v>
      </c>
      <c r="T44" s="707">
        <f t="shared" si="11"/>
        <v>827.76864384947612</v>
      </c>
      <c r="U44" s="707">
        <f t="shared" si="12"/>
        <v>2085.3468007728366</v>
      </c>
      <c r="V44" s="707">
        <f t="shared" si="13"/>
        <v>4862.4769883241161</v>
      </c>
      <c r="W44" s="636">
        <f t="shared" si="14"/>
        <v>1</v>
      </c>
      <c r="X44" s="636">
        <f t="shared" si="15"/>
        <v>0.99957071406174069</v>
      </c>
      <c r="Y44" s="707">
        <f t="shared" si="16"/>
        <v>4861.2848053858843</v>
      </c>
      <c r="Z44" s="635">
        <f t="shared" si="17"/>
        <v>18.130533162530522</v>
      </c>
      <c r="AA44" s="707">
        <f t="shared" si="18"/>
        <v>445.25414960486205</v>
      </c>
      <c r="AB44" s="707">
        <f t="shared" si="19"/>
        <v>57768.267770668936</v>
      </c>
    </row>
    <row r="45" spans="1:28" x14ac:dyDescent="0.25">
      <c r="A45" s="23" t="str">
        <f>Weather_Site!A43</f>
        <v>Tue</v>
      </c>
      <c r="B45" s="24">
        <f>Weather_Site!B43</f>
        <v>41282</v>
      </c>
      <c r="C45" s="25">
        <f>Weather_Site!C43</f>
        <v>0.5</v>
      </c>
      <c r="D45" s="27">
        <f>Weather_Site!D43</f>
        <v>40</v>
      </c>
      <c r="E45" s="27">
        <f>Weather_Site!E43</f>
        <v>11.4</v>
      </c>
      <c r="F45" s="28">
        <f>Weather_Site!F43</f>
        <v>287</v>
      </c>
      <c r="G45" s="27">
        <f>Weather_Site!G43</f>
        <v>46</v>
      </c>
      <c r="H45" s="548">
        <f>C$4</f>
        <v>0</v>
      </c>
      <c r="I45" s="27">
        <f t="shared" si="2"/>
        <v>15.333333333333334</v>
      </c>
      <c r="J45" s="738">
        <f>IF(Weather_Site!M43&lt;180,Weather_Site!M43+180,Weather_Site!M43-180)</f>
        <v>107</v>
      </c>
      <c r="K45" s="635">
        <f t="shared" si="3"/>
        <v>3.4255999999999993</v>
      </c>
      <c r="L45" s="635">
        <f t="shared" si="4"/>
        <v>3.7266000000000004</v>
      </c>
      <c r="M45" s="635">
        <f t="shared" si="5"/>
        <v>3.4051999999999998</v>
      </c>
      <c r="N45" s="635">
        <f t="shared" si="6"/>
        <v>3.7266000000000004</v>
      </c>
      <c r="O45" s="636">
        <f t="shared" si="7"/>
        <v>1</v>
      </c>
      <c r="P45" s="635">
        <f>IF($O$11,Weather_Site!H43,IF(0.191*(Weather_Site!K43+104)*(Weather_Site!J43+1)^1.5/(3.52*(Weather_Site!J43+1)^1.5+Weather_Site!I43-1)&gt;10, 10,0.191*(Weather_Site!K43+104)*(Weather_Site!J43+1)^1.5/(3.52*(Weather_Site!J43+1)^1.5+Weather_Site!I43-1)))</f>
        <v>9.8000000000000007</v>
      </c>
      <c r="Q45" s="636">
        <f t="shared" si="8"/>
        <v>0.99655637024742383</v>
      </c>
      <c r="R45" s="636">
        <f t="shared" si="9"/>
        <v>0.99655637024742383</v>
      </c>
      <c r="S45" s="635">
        <f t="shared" si="10"/>
        <v>1</v>
      </c>
      <c r="T45" s="707">
        <f t="shared" si="11"/>
        <v>845.34982683663532</v>
      </c>
      <c r="U45" s="707">
        <f t="shared" si="12"/>
        <v>2126.2589396324852</v>
      </c>
      <c r="V45" s="707">
        <f t="shared" si="13"/>
        <v>4991.4727597449246</v>
      </c>
      <c r="W45" s="636">
        <f t="shared" si="14"/>
        <v>1</v>
      </c>
      <c r="X45" s="636">
        <f t="shared" si="15"/>
        <v>0.99968037995638226</v>
      </c>
      <c r="Y45" s="707">
        <f t="shared" si="16"/>
        <v>4990.5569799787654</v>
      </c>
      <c r="Z45" s="635">
        <f t="shared" si="17"/>
        <v>18.477843969097211</v>
      </c>
      <c r="AA45" s="707">
        <f t="shared" si="18"/>
        <v>448.04971809045873</v>
      </c>
      <c r="AB45" s="707">
        <f t="shared" si="19"/>
        <v>59304.452112080995</v>
      </c>
    </row>
    <row r="46" spans="1:28" x14ac:dyDescent="0.25">
      <c r="A46" s="23" t="str">
        <f>Weather_Site!A44</f>
        <v>Tue</v>
      </c>
      <c r="B46" s="24">
        <f>Weather_Site!B44</f>
        <v>41282</v>
      </c>
      <c r="C46" s="25">
        <f>Weather_Site!C44</f>
        <v>0.54166666666666663</v>
      </c>
      <c r="D46" s="27">
        <f>Weather_Site!D44</f>
        <v>41.1</v>
      </c>
      <c r="E46" s="27">
        <f>Weather_Site!E44</f>
        <v>10.6</v>
      </c>
      <c r="F46" s="28">
        <f>Weather_Site!F44</f>
        <v>280</v>
      </c>
      <c r="G46" s="27">
        <f>Weather_Site!G44</f>
        <v>47</v>
      </c>
      <c r="H46" s="548">
        <f>C$4</f>
        <v>0</v>
      </c>
      <c r="I46" s="27">
        <f t="shared" si="2"/>
        <v>15.666666666666666</v>
      </c>
      <c r="J46" s="738">
        <f>IF(Weather_Site!M44&lt;180,Weather_Site!M44+180,Weather_Site!M44-180)</f>
        <v>100</v>
      </c>
      <c r="K46" s="635">
        <f t="shared" si="3"/>
        <v>3.3058299999999998</v>
      </c>
      <c r="L46" s="635">
        <f t="shared" si="4"/>
        <v>3.5419</v>
      </c>
      <c r="M46" s="635">
        <f t="shared" si="5"/>
        <v>3.1936700000000005</v>
      </c>
      <c r="N46" s="635">
        <f t="shared" si="6"/>
        <v>3.3058299999999998</v>
      </c>
      <c r="O46" s="636">
        <f t="shared" si="7"/>
        <v>1</v>
      </c>
      <c r="P46" s="635">
        <f>IF($O$11,Weather_Site!H44,IF(0.191*(Weather_Site!K44+104)*(Weather_Site!J44+1)^1.5/(3.52*(Weather_Site!J44+1)^1.5+Weather_Site!I44-1)&gt;10, 10,0.191*(Weather_Site!K44+104)*(Weather_Site!J44+1)^1.5/(3.52*(Weather_Site!J44+1)^1.5+Weather_Site!I44-1)))</f>
        <v>9.8000000000000007</v>
      </c>
      <c r="Q46" s="636">
        <f t="shared" si="8"/>
        <v>0.99655637024742383</v>
      </c>
      <c r="R46" s="636">
        <f t="shared" si="9"/>
        <v>0.99655637024742383</v>
      </c>
      <c r="S46" s="635">
        <f t="shared" si="10"/>
        <v>1</v>
      </c>
      <c r="T46" s="707">
        <f t="shared" si="11"/>
        <v>862.90089132654407</v>
      </c>
      <c r="U46" s="707">
        <f t="shared" si="12"/>
        <v>2167.0055516021907</v>
      </c>
      <c r="V46" s="707">
        <f t="shared" si="13"/>
        <v>5121.0060843978526</v>
      </c>
      <c r="W46" s="636">
        <f t="shared" si="14"/>
        <v>1</v>
      </c>
      <c r="X46" s="636">
        <f t="shared" si="15"/>
        <v>0.99976203714106937</v>
      </c>
      <c r="Y46" s="707">
        <f t="shared" si="16"/>
        <v>5120.3031419857862</v>
      </c>
      <c r="Z46" s="635">
        <f t="shared" si="17"/>
        <v>18.823931213700721</v>
      </c>
      <c r="AA46" s="707">
        <f t="shared" si="18"/>
        <v>450.77852783619625</v>
      </c>
      <c r="AB46" s="707">
        <f t="shared" si="19"/>
        <v>60846.269003931098</v>
      </c>
    </row>
    <row r="47" spans="1:28" x14ac:dyDescent="0.25">
      <c r="A47" s="23" t="str">
        <f>Weather_Site!A45</f>
        <v>Tue</v>
      </c>
      <c r="B47" s="24">
        <f>Weather_Site!B45</f>
        <v>41282</v>
      </c>
      <c r="C47" s="25">
        <f>Weather_Site!C45</f>
        <v>0.58333333333333337</v>
      </c>
      <c r="D47" s="27">
        <f>Weather_Site!D45</f>
        <v>42.3</v>
      </c>
      <c r="E47" s="27">
        <f>Weather_Site!E45</f>
        <v>9.9</v>
      </c>
      <c r="F47" s="28">
        <f>Weather_Site!F45</f>
        <v>277</v>
      </c>
      <c r="G47" s="27">
        <f>Weather_Site!G45</f>
        <v>46</v>
      </c>
      <c r="H47" s="548">
        <f>C$4</f>
        <v>0</v>
      </c>
      <c r="I47" s="27">
        <f t="shared" si="2"/>
        <v>15.333333333333334</v>
      </c>
      <c r="J47" s="738">
        <f>IF(Weather_Site!M45&lt;180,Weather_Site!M45+180,Weather_Site!M45-180)</f>
        <v>97</v>
      </c>
      <c r="K47" s="635">
        <f t="shared" si="3"/>
        <v>3.1965899999999996</v>
      </c>
      <c r="L47" s="635">
        <f t="shared" si="4"/>
        <v>3.3696000000000006</v>
      </c>
      <c r="M47" s="635">
        <f t="shared" si="5"/>
        <v>2.9971100000000006</v>
      </c>
      <c r="N47" s="635">
        <f t="shared" si="6"/>
        <v>3.1965899999999996</v>
      </c>
      <c r="O47" s="636">
        <f t="shared" si="7"/>
        <v>1</v>
      </c>
      <c r="P47" s="635">
        <f>IF($O$11,Weather_Site!H45,IF(0.191*(Weather_Site!K45+104)*(Weather_Site!J45+1)^1.5/(3.52*(Weather_Site!J45+1)^1.5+Weather_Site!I45-1)&gt;10, 10,0.191*(Weather_Site!K45+104)*(Weather_Site!J45+1)^1.5/(3.52*(Weather_Site!J45+1)^1.5+Weather_Site!I45-1)))</f>
        <v>9.8000000000000007</v>
      </c>
      <c r="Q47" s="636">
        <f t="shared" si="8"/>
        <v>0.99655637024742383</v>
      </c>
      <c r="R47" s="636">
        <f t="shared" si="9"/>
        <v>0.99655637024742383</v>
      </c>
      <c r="S47" s="635">
        <f t="shared" si="10"/>
        <v>1</v>
      </c>
      <c r="T47" s="707">
        <f t="shared" si="11"/>
        <v>845.34982683663532</v>
      </c>
      <c r="U47" s="707">
        <f t="shared" si="12"/>
        <v>2126.2589396324852</v>
      </c>
      <c r="V47" s="707">
        <f t="shared" si="13"/>
        <v>4991.4727597449246</v>
      </c>
      <c r="W47" s="636">
        <f t="shared" si="14"/>
        <v>1</v>
      </c>
      <c r="X47" s="636">
        <f t="shared" si="15"/>
        <v>0.99968037995638226</v>
      </c>
      <c r="Y47" s="707">
        <f t="shared" si="16"/>
        <v>4990.5569799787654</v>
      </c>
      <c r="Z47" s="635">
        <f t="shared" si="17"/>
        <v>18.477843969097211</v>
      </c>
      <c r="AA47" s="707">
        <f t="shared" si="18"/>
        <v>448.04971809045873</v>
      </c>
      <c r="AB47" s="707">
        <f t="shared" si="19"/>
        <v>59304.452112080995</v>
      </c>
    </row>
    <row r="48" spans="1:28" x14ac:dyDescent="0.25">
      <c r="A48" s="23" t="str">
        <f>Weather_Site!A46</f>
        <v>Tue</v>
      </c>
      <c r="B48" s="24">
        <f>Weather_Site!B46</f>
        <v>41282</v>
      </c>
      <c r="C48" s="25">
        <f>Weather_Site!C46</f>
        <v>0.625</v>
      </c>
      <c r="D48" s="27">
        <f>Weather_Site!D46</f>
        <v>42.1</v>
      </c>
      <c r="E48" s="27">
        <f>Weather_Site!E46</f>
        <v>9.5</v>
      </c>
      <c r="F48" s="28">
        <f>Weather_Site!F46</f>
        <v>268</v>
      </c>
      <c r="G48" s="27">
        <f>Weather_Site!G46</f>
        <v>39</v>
      </c>
      <c r="H48" s="548">
        <f>C$4</f>
        <v>0</v>
      </c>
      <c r="I48" s="27">
        <f t="shared" si="2"/>
        <v>13</v>
      </c>
      <c r="J48" s="738">
        <f>IF(Weather_Site!M46&lt;180,Weather_Site!M46+180,Weather_Site!M46-180)</f>
        <v>88</v>
      </c>
      <c r="K48" s="635">
        <f t="shared" si="3"/>
        <v>3.1507299999999994</v>
      </c>
      <c r="L48" s="635">
        <f t="shared" si="4"/>
        <v>3.3110000000000008</v>
      </c>
      <c r="M48" s="635">
        <f t="shared" si="5"/>
        <v>2.9275700000000002</v>
      </c>
      <c r="N48" s="635">
        <f t="shared" si="6"/>
        <v>3.1507299999999994</v>
      </c>
      <c r="O48" s="636">
        <f t="shared" si="7"/>
        <v>1</v>
      </c>
      <c r="P48" s="635">
        <f>IF($O$11,Weather_Site!H46,IF(0.191*(Weather_Site!K46+104)*(Weather_Site!J46+1)^1.5/(3.52*(Weather_Site!J46+1)^1.5+Weather_Site!I46-1)&gt;10, 10,0.191*(Weather_Site!K46+104)*(Weather_Site!J46+1)^1.5/(3.52*(Weather_Site!J46+1)^1.5+Weather_Site!I46-1)))</f>
        <v>9.8000000000000007</v>
      </c>
      <c r="Q48" s="636">
        <f t="shared" si="8"/>
        <v>0.99655637024742383</v>
      </c>
      <c r="R48" s="636">
        <f t="shared" si="9"/>
        <v>0.99655637024742383</v>
      </c>
      <c r="S48" s="635">
        <f t="shared" si="10"/>
        <v>1</v>
      </c>
      <c r="T48" s="707">
        <f t="shared" si="11"/>
        <v>721.60298355499253</v>
      </c>
      <c r="U48" s="707">
        <f t="shared" si="12"/>
        <v>1836.119721568966</v>
      </c>
      <c r="V48" s="707">
        <f t="shared" si="13"/>
        <v>4100.3601177175879</v>
      </c>
      <c r="W48" s="636">
        <f t="shared" si="14"/>
        <v>1</v>
      </c>
      <c r="X48" s="636">
        <f t="shared" si="15"/>
        <v>0.99748347841289009</v>
      </c>
      <c r="Y48" s="707">
        <f t="shared" si="16"/>
        <v>4094.6621078822736</v>
      </c>
      <c r="Z48" s="635">
        <f t="shared" si="17"/>
        <v>16.014862688819445</v>
      </c>
      <c r="AA48" s="707">
        <f t="shared" si="18"/>
        <v>426.72288422634057</v>
      </c>
      <c r="AB48" s="707">
        <f t="shared" si="19"/>
        <v>48658.234715334358</v>
      </c>
    </row>
    <row r="49" spans="1:28" x14ac:dyDescent="0.25">
      <c r="A49" s="675" t="str">
        <f>Weather_Site!A47</f>
        <v>Tue</v>
      </c>
      <c r="B49" s="672">
        <f>Weather_Site!B47</f>
        <v>41282</v>
      </c>
      <c r="C49" s="673">
        <f>Weather_Site!C47</f>
        <v>0.66666666666666663</v>
      </c>
      <c r="D49" s="413">
        <f>Weather_Site!D47</f>
        <v>42</v>
      </c>
      <c r="E49" s="413">
        <f>Weather_Site!E47</f>
        <v>9.3000000000000007</v>
      </c>
      <c r="F49" s="674">
        <f>Weather_Site!F47</f>
        <v>254</v>
      </c>
      <c r="G49" s="413">
        <f>Weather_Site!G47</f>
        <v>30</v>
      </c>
      <c r="H49" s="548">
        <f>C$4</f>
        <v>0</v>
      </c>
      <c r="I49" s="413">
        <f t="shared" si="2"/>
        <v>10</v>
      </c>
      <c r="J49" s="413">
        <f>IF(Weather_Site!M47&lt;180,Weather_Site!M47+180,Weather_Site!M47-180)</f>
        <v>74</v>
      </c>
      <c r="K49" s="711">
        <f t="shared" si="3"/>
        <v>3.1277999999999997</v>
      </c>
      <c r="L49" s="711">
        <f t="shared" si="4"/>
        <v>3.2817000000000007</v>
      </c>
      <c r="M49" s="711">
        <f t="shared" si="5"/>
        <v>2.8928000000000003</v>
      </c>
      <c r="N49" s="711">
        <f t="shared" si="6"/>
        <v>3.1277999999999997</v>
      </c>
      <c r="O49" s="713">
        <f t="shared" si="7"/>
        <v>1</v>
      </c>
      <c r="P49" s="711">
        <f>IF($O$11,Weather_Site!H47,IF(0.191*(Weather_Site!K47+104)*(Weather_Site!J47+1)^1.5/(3.52*(Weather_Site!J47+1)^1.5+Weather_Site!I47-1)&gt;10, 10,0.191*(Weather_Site!K47+104)*(Weather_Site!J47+1)^1.5/(3.52*(Weather_Site!J47+1)^1.5+Weather_Site!I47-1)))</f>
        <v>9.8000000000000007</v>
      </c>
      <c r="Q49" s="713">
        <f t="shared" si="8"/>
        <v>0.99655637024742383</v>
      </c>
      <c r="R49" s="713">
        <f t="shared" si="9"/>
        <v>0.99655637024742383</v>
      </c>
      <c r="S49" s="711">
        <f t="shared" si="10"/>
        <v>1</v>
      </c>
      <c r="T49" s="716">
        <f t="shared" si="11"/>
        <v>559.7961469385308</v>
      </c>
      <c r="U49" s="716">
        <f t="shared" si="12"/>
        <v>1447.9058736942991</v>
      </c>
      <c r="V49" s="716">
        <f t="shared" si="13"/>
        <v>2999.7396526969355</v>
      </c>
      <c r="W49" s="713">
        <f t="shared" si="14"/>
        <v>1</v>
      </c>
      <c r="X49" s="713">
        <f t="shared" si="15"/>
        <v>0.96532540482272677</v>
      </c>
      <c r="Y49" s="716">
        <f t="shared" si="16"/>
        <v>2945.930444627601</v>
      </c>
      <c r="Z49" s="711">
        <f t="shared" si="17"/>
        <v>12.622268505355697</v>
      </c>
      <c r="AA49" s="716">
        <f t="shared" si="18"/>
        <v>387.01135636200752</v>
      </c>
      <c r="AB49" s="716">
        <f t="shared" si="19"/>
        <v>35007.473450324658</v>
      </c>
    </row>
    <row r="50" spans="1:28" x14ac:dyDescent="0.25">
      <c r="A50" s="675" t="str">
        <f>Weather_Site!A48</f>
        <v>Tue</v>
      </c>
      <c r="B50" s="672">
        <f>Weather_Site!B48</f>
        <v>41282</v>
      </c>
      <c r="C50" s="673">
        <f>Weather_Site!C48</f>
        <v>0.70833333333333337</v>
      </c>
      <c r="D50" s="413">
        <f>Weather_Site!D48</f>
        <v>41.8</v>
      </c>
      <c r="E50" s="413">
        <f>Weather_Site!E48</f>
        <v>9.8000000000000007</v>
      </c>
      <c r="F50" s="674">
        <f>Weather_Site!F48</f>
        <v>249</v>
      </c>
      <c r="G50" s="413">
        <f>Weather_Site!G48</f>
        <v>24</v>
      </c>
      <c r="H50" s="548">
        <f>C$4</f>
        <v>0</v>
      </c>
      <c r="I50" s="413">
        <f t="shared" si="2"/>
        <v>8</v>
      </c>
      <c r="J50" s="413">
        <f>IF(Weather_Site!M48&lt;180,Weather_Site!M48+180,Weather_Site!M48-180)</f>
        <v>69</v>
      </c>
      <c r="K50" s="711">
        <f t="shared" si="3"/>
        <v>3.19354</v>
      </c>
      <c r="L50" s="711">
        <f t="shared" si="4"/>
        <v>3.3752000000000009</v>
      </c>
      <c r="M50" s="711">
        <f t="shared" si="5"/>
        <v>3.0014600000000002</v>
      </c>
      <c r="N50" s="711">
        <f t="shared" si="6"/>
        <v>3.19354</v>
      </c>
      <c r="O50" s="713">
        <f t="shared" si="7"/>
        <v>1</v>
      </c>
      <c r="P50" s="711">
        <f>IF($O$11,Weather_Site!H48,IF(0.191*(Weather_Site!K48+104)*(Weather_Site!J48+1)^1.5/(3.52*(Weather_Site!J48+1)^1.5+Weather_Site!I48-1)&gt;10, 10,0.191*(Weather_Site!K48+104)*(Weather_Site!J48+1)^1.5/(3.52*(Weather_Site!J48+1)^1.5+Weather_Site!I48-1)))</f>
        <v>9.8000000000000007</v>
      </c>
      <c r="Q50" s="713">
        <f t="shared" si="8"/>
        <v>0.99655637024742383</v>
      </c>
      <c r="R50" s="713">
        <f t="shared" si="9"/>
        <v>0.99655637024742383</v>
      </c>
      <c r="S50" s="711">
        <f t="shared" si="10"/>
        <v>1</v>
      </c>
      <c r="T50" s="716">
        <f t="shared" si="11"/>
        <v>449.7476354825734</v>
      </c>
      <c r="U50" s="716">
        <f t="shared" si="12"/>
        <v>1176.5782963546674</v>
      </c>
      <c r="V50" s="716">
        <f t="shared" si="13"/>
        <v>2299.5168891088624</v>
      </c>
      <c r="W50" s="713">
        <f t="shared" si="14"/>
        <v>1</v>
      </c>
      <c r="X50" s="713">
        <f t="shared" si="15"/>
        <v>0.82575819357266411</v>
      </c>
      <c r="Y50" s="716">
        <f t="shared" si="16"/>
        <v>2103.854040200401</v>
      </c>
      <c r="Z50" s="711">
        <f t="shared" si="17"/>
        <v>9.8953198924053414</v>
      </c>
      <c r="AA50" s="716">
        <f t="shared" si="18"/>
        <v>334.49727171845598</v>
      </c>
      <c r="AB50" s="716">
        <f t="shared" si="19"/>
        <v>25000.798844381432</v>
      </c>
    </row>
    <row r="51" spans="1:28" x14ac:dyDescent="0.25">
      <c r="A51" s="675" t="str">
        <f>Weather_Site!A49</f>
        <v>Tue</v>
      </c>
      <c r="B51" s="672">
        <f>Weather_Site!B49</f>
        <v>41282</v>
      </c>
      <c r="C51" s="673">
        <f>Weather_Site!C49</f>
        <v>0.75</v>
      </c>
      <c r="D51" s="413">
        <f>Weather_Site!D49</f>
        <v>39.6</v>
      </c>
      <c r="E51" s="413">
        <f>Weather_Site!E49</f>
        <v>13.8</v>
      </c>
      <c r="F51" s="674">
        <f>Weather_Site!F49</f>
        <v>252</v>
      </c>
      <c r="G51" s="413">
        <f>Weather_Site!G49</f>
        <v>20</v>
      </c>
      <c r="H51" s="548">
        <f>C$4</f>
        <v>0</v>
      </c>
      <c r="I51" s="413">
        <f t="shared" si="2"/>
        <v>6.666666666666667</v>
      </c>
      <c r="J51" s="413">
        <f>IF(Weather_Site!M49&lt;180,Weather_Site!M49+180,Weather_Site!M49-180)</f>
        <v>72</v>
      </c>
      <c r="K51" s="711">
        <f t="shared" si="3"/>
        <v>3.7306799999999996</v>
      </c>
      <c r="L51" s="711">
        <f t="shared" si="4"/>
        <v>4.1501999999999999</v>
      </c>
      <c r="M51" s="711">
        <f t="shared" si="5"/>
        <v>3.8997200000000003</v>
      </c>
      <c r="N51" s="711">
        <f t="shared" si="6"/>
        <v>4.1501999999999999</v>
      </c>
      <c r="O51" s="713">
        <f t="shared" si="7"/>
        <v>0.99590541447038283</v>
      </c>
      <c r="P51" s="711">
        <f>IF($O$11,Weather_Site!H49,IF(0.191*(Weather_Site!K49+104)*(Weather_Site!J49+1)^1.5/(3.52*(Weather_Site!J49+1)^1.5+Weather_Site!I49-1)&gt;10, 10,0.191*(Weather_Site!K49+104)*(Weather_Site!J49+1)^1.5/(3.52*(Weather_Site!J49+1)^1.5+Weather_Site!I49-1)))</f>
        <v>9.8000000000000007</v>
      </c>
      <c r="Q51" s="713">
        <f t="shared" si="8"/>
        <v>0.99655637024742383</v>
      </c>
      <c r="R51" s="713">
        <f t="shared" si="9"/>
        <v>0.9924758849543609</v>
      </c>
      <c r="S51" s="711">
        <f t="shared" si="10"/>
        <v>1</v>
      </c>
      <c r="T51" s="716">
        <f t="shared" si="11"/>
        <v>373.57609264722475</v>
      </c>
      <c r="U51" s="716">
        <f t="shared" si="12"/>
        <v>984.15849805725543</v>
      </c>
      <c r="V51" s="716">
        <f t="shared" si="13"/>
        <v>1843.0098757326382</v>
      </c>
      <c r="W51" s="713">
        <f t="shared" si="14"/>
        <v>1</v>
      </c>
      <c r="X51" s="713">
        <f t="shared" si="15"/>
        <v>0.56606187734050706</v>
      </c>
      <c r="Y51" s="716">
        <f t="shared" si="16"/>
        <v>1470.3215212606635</v>
      </c>
      <c r="Z51" s="711">
        <f t="shared" si="17"/>
        <v>7.6371031815126651</v>
      </c>
      <c r="AA51" s="716">
        <f t="shared" si="18"/>
        <v>271.87897952305167</v>
      </c>
      <c r="AB51" s="716">
        <f t="shared" si="19"/>
        <v>17472.320744314216</v>
      </c>
    </row>
    <row r="52" spans="1:28" x14ac:dyDescent="0.25">
      <c r="A52" s="675" t="str">
        <f>Weather_Site!A50</f>
        <v>Tue</v>
      </c>
      <c r="B52" s="672">
        <f>Weather_Site!B50</f>
        <v>41282</v>
      </c>
      <c r="C52" s="673">
        <f>Weather_Site!C50</f>
        <v>0.79166666666666663</v>
      </c>
      <c r="D52" s="413">
        <f>Weather_Site!D50</f>
        <v>37.4</v>
      </c>
      <c r="E52" s="413">
        <f>Weather_Site!E50</f>
        <v>20.399999999999999</v>
      </c>
      <c r="F52" s="674">
        <f>Weather_Site!F50</f>
        <v>286</v>
      </c>
      <c r="G52" s="413">
        <f>Weather_Site!G50</f>
        <v>18</v>
      </c>
      <c r="H52" s="548">
        <f>C$4</f>
        <v>0</v>
      </c>
      <c r="I52" s="413">
        <f t="shared" si="2"/>
        <v>6</v>
      </c>
      <c r="J52" s="413">
        <f>IF(Weather_Site!M50&lt;180,Weather_Site!M50+180,Weather_Site!M50-180)</f>
        <v>106</v>
      </c>
      <c r="K52" s="711">
        <f t="shared" si="3"/>
        <v>4.5902200000000004</v>
      </c>
      <c r="L52" s="711">
        <f t="shared" si="4"/>
        <v>5.3646000000000003</v>
      </c>
      <c r="M52" s="711">
        <f t="shared" si="5"/>
        <v>5.3127800000000001</v>
      </c>
      <c r="N52" s="711">
        <f t="shared" si="6"/>
        <v>5.3646000000000003</v>
      </c>
      <c r="O52" s="713">
        <f t="shared" si="7"/>
        <v>0.91866243850463392</v>
      </c>
      <c r="P52" s="711">
        <f>IF($O$11,Weather_Site!H50,IF(0.191*(Weather_Site!K50+104)*(Weather_Site!J50+1)^1.5/(3.52*(Weather_Site!J50+1)^1.5+Weather_Site!I50-1)&gt;10, 10,0.191*(Weather_Site!K50+104)*(Weather_Site!J50+1)^1.5/(3.52*(Weather_Site!J50+1)^1.5+Weather_Site!I50-1)))</f>
        <v>9.8000000000000007</v>
      </c>
      <c r="Q52" s="713">
        <f t="shared" si="8"/>
        <v>0.99655637024742383</v>
      </c>
      <c r="R52" s="713">
        <f t="shared" si="9"/>
        <v>0.91549890519882515</v>
      </c>
      <c r="S52" s="711">
        <f t="shared" si="10"/>
        <v>1</v>
      </c>
      <c r="T52" s="716">
        <f t="shared" si="11"/>
        <v>309.88507671748022</v>
      </c>
      <c r="U52" s="716">
        <f t="shared" si="12"/>
        <v>818.69160077604636</v>
      </c>
      <c r="V52" s="716">
        <f t="shared" si="13"/>
        <v>1499.5313341120909</v>
      </c>
      <c r="W52" s="713">
        <f t="shared" si="14"/>
        <v>1</v>
      </c>
      <c r="X52" s="713">
        <f t="shared" si="15"/>
        <v>8.3705608322945768E-2</v>
      </c>
      <c r="Y52" s="716">
        <f t="shared" si="16"/>
        <v>875.68170482537221</v>
      </c>
      <c r="Z52" s="711">
        <f t="shared" si="17"/>
        <v>5.2505634722249228</v>
      </c>
      <c r="AA52" s="716">
        <f t="shared" si="18"/>
        <v>176.29282187658484</v>
      </c>
      <c r="AB52" s="716">
        <f t="shared" si="19"/>
        <v>10406.017592341506</v>
      </c>
    </row>
    <row r="53" spans="1:28" x14ac:dyDescent="0.25">
      <c r="A53" s="675" t="str">
        <f>Weather_Site!A51</f>
        <v>Tue</v>
      </c>
      <c r="B53" s="672">
        <f>Weather_Site!B51</f>
        <v>41282</v>
      </c>
      <c r="C53" s="673">
        <f>Weather_Site!C51</f>
        <v>0.83333333333333337</v>
      </c>
      <c r="D53" s="413">
        <f>Weather_Site!D51</f>
        <v>35.200000000000003</v>
      </c>
      <c r="E53" s="413">
        <f>Weather_Site!E51</f>
        <v>28.4</v>
      </c>
      <c r="F53" s="674">
        <f>Weather_Site!F51</f>
        <v>287</v>
      </c>
      <c r="G53" s="413">
        <f>Weather_Site!G51</f>
        <v>13</v>
      </c>
      <c r="H53" s="548">
        <f>C$4</f>
        <v>0</v>
      </c>
      <c r="I53" s="413">
        <f t="shared" si="2"/>
        <v>4.333333333333333</v>
      </c>
      <c r="J53" s="413">
        <f>IF(Weather_Site!M51&lt;180,Weather_Site!M51+180,Weather_Site!M51-180)</f>
        <v>107</v>
      </c>
      <c r="K53" s="711">
        <f t="shared" si="3"/>
        <v>5.623359999999999</v>
      </c>
      <c r="L53" s="711">
        <f t="shared" si="4"/>
        <v>6.8155999999999999</v>
      </c>
      <c r="M53" s="711">
        <f t="shared" si="5"/>
        <v>7.0030399999999986</v>
      </c>
      <c r="N53" s="711">
        <f t="shared" si="6"/>
        <v>7.0030399999999986</v>
      </c>
      <c r="O53" s="713">
        <f t="shared" si="7"/>
        <v>0.78252448303002409</v>
      </c>
      <c r="P53" s="711">
        <f>IF($O$11,Weather_Site!H51,IF(0.191*(Weather_Site!K51+104)*(Weather_Site!J51+1)^1.5/(3.52*(Weather_Site!J51+1)^1.5+Weather_Site!I51-1)&gt;10, 10,0.191*(Weather_Site!K51+104)*(Weather_Site!J51+1)^1.5/(3.52*(Weather_Site!J51+1)^1.5+Weather_Site!I51-1)))</f>
        <v>9.8000000000000007</v>
      </c>
      <c r="Q53" s="713">
        <f t="shared" si="8"/>
        <v>0.99655637024742383</v>
      </c>
      <c r="R53" s="713">
        <f t="shared" si="9"/>
        <v>0.77982975843814262</v>
      </c>
      <c r="S53" s="711">
        <f t="shared" si="10"/>
        <v>1</v>
      </c>
      <c r="T53" s="716">
        <f t="shared" si="11"/>
        <v>188.63968460055011</v>
      </c>
      <c r="U53" s="716">
        <f t="shared" si="12"/>
        <v>498.95975499237903</v>
      </c>
      <c r="V53" s="716">
        <f t="shared" si="13"/>
        <v>866.83198263064344</v>
      </c>
      <c r="W53" s="713">
        <f t="shared" si="14"/>
        <v>1</v>
      </c>
      <c r="X53" s="713">
        <f t="shared" si="15"/>
        <v>5.4486745999731952E-4</v>
      </c>
      <c r="Y53" s="716">
        <f t="shared" si="16"/>
        <v>499.16019659865589</v>
      </c>
      <c r="Z53" s="711">
        <f t="shared" si="17"/>
        <v>3.4971723566855464</v>
      </c>
      <c r="AA53" s="716">
        <f t="shared" si="18"/>
        <v>129.14213924212353</v>
      </c>
      <c r="AB53" s="716">
        <f t="shared" si="19"/>
        <v>5931.6870029140282</v>
      </c>
    </row>
    <row r="54" spans="1:28" x14ac:dyDescent="0.25">
      <c r="A54" s="23" t="str">
        <f>Weather_Site!A52</f>
        <v>Tue</v>
      </c>
      <c r="B54" s="24">
        <f>Weather_Site!B52</f>
        <v>41282</v>
      </c>
      <c r="C54" s="25">
        <f>Weather_Site!C52</f>
        <v>0.875</v>
      </c>
      <c r="D54" s="27">
        <f>Weather_Site!D52</f>
        <v>32.4</v>
      </c>
      <c r="E54" s="27">
        <f>Weather_Site!E52</f>
        <v>34.700000000000003</v>
      </c>
      <c r="F54" s="28">
        <f>Weather_Site!F52</f>
        <v>254</v>
      </c>
      <c r="G54" s="27">
        <f>Weather_Site!G52</f>
        <v>14</v>
      </c>
      <c r="H54" s="548">
        <f>C$4</f>
        <v>0</v>
      </c>
      <c r="I54" s="27">
        <f t="shared" si="2"/>
        <v>4.666666666666667</v>
      </c>
      <c r="J54" s="738">
        <f>IF(Weather_Site!M52&lt;180,Weather_Site!M52+180,Weather_Site!M52-180)</f>
        <v>74</v>
      </c>
      <c r="K54" s="635">
        <f t="shared" si="3"/>
        <v>6.4569200000000002</v>
      </c>
      <c r="L54" s="635">
        <f t="shared" si="4"/>
        <v>8.0063000000000013</v>
      </c>
      <c r="M54" s="635">
        <f t="shared" si="5"/>
        <v>8.3856800000000007</v>
      </c>
      <c r="N54" s="635">
        <f t="shared" si="6"/>
        <v>8.3856800000000007</v>
      </c>
      <c r="O54" s="636">
        <f t="shared" si="7"/>
        <v>0.65662053353435113</v>
      </c>
      <c r="P54" s="635">
        <f>IF($O$11,Weather_Site!H52,IF(0.191*(Weather_Site!K52+104)*(Weather_Site!J52+1)^1.5/(3.52*(Weather_Site!J52+1)^1.5+Weather_Site!I52-1)&gt;10, 10,0.191*(Weather_Site!K52+104)*(Weather_Site!J52+1)^1.5/(3.52*(Weather_Site!J52+1)^1.5+Weather_Site!I52-1)))</f>
        <v>9.8000000000000007</v>
      </c>
      <c r="Q54" s="636">
        <f t="shared" si="8"/>
        <v>0.99655637024742383</v>
      </c>
      <c r="R54" s="636">
        <f t="shared" si="9"/>
        <v>0.65435937552891976</v>
      </c>
      <c r="S54" s="635">
        <f t="shared" si="10"/>
        <v>1</v>
      </c>
      <c r="T54" s="707">
        <f t="shared" si="11"/>
        <v>171.08644624631199</v>
      </c>
      <c r="U54" s="707">
        <f t="shared" si="12"/>
        <v>452.95970518342961</v>
      </c>
      <c r="V54" s="707">
        <f t="shared" si="13"/>
        <v>794.49729265353164</v>
      </c>
      <c r="W54" s="636">
        <f t="shared" si="14"/>
        <v>1</v>
      </c>
      <c r="X54" s="636">
        <f t="shared" si="15"/>
        <v>2.5137145758377427E-5</v>
      </c>
      <c r="Y54" s="707">
        <f t="shared" si="16"/>
        <v>452.96829046354782</v>
      </c>
      <c r="Z54" s="635">
        <f t="shared" si="17"/>
        <v>3.260067370932211</v>
      </c>
      <c r="AA54" s="707">
        <f t="shared" si="18"/>
        <v>110.86946604257582</v>
      </c>
      <c r="AB54" s="707">
        <f t="shared" si="19"/>
        <v>5382.7731850084938</v>
      </c>
    </row>
    <row r="55" spans="1:28" x14ac:dyDescent="0.25">
      <c r="A55" s="23" t="str">
        <f>Weather_Site!A53</f>
        <v>Tue</v>
      </c>
      <c r="B55" s="24">
        <f>Weather_Site!B53</f>
        <v>41282</v>
      </c>
      <c r="C55" s="25">
        <f>Weather_Site!C53</f>
        <v>0.91666666666666663</v>
      </c>
      <c r="D55" s="27">
        <f>Weather_Site!D53</f>
        <v>29.6</v>
      </c>
      <c r="E55" s="27">
        <f>Weather_Site!E53</f>
        <v>39.4</v>
      </c>
      <c r="F55" s="28">
        <f>Weather_Site!F53</f>
        <v>199</v>
      </c>
      <c r="G55" s="27">
        <f>Weather_Site!G53</f>
        <v>14</v>
      </c>
      <c r="H55" s="548">
        <f>C$4</f>
        <v>0</v>
      </c>
      <c r="I55" s="27">
        <f t="shared" si="2"/>
        <v>4.666666666666667</v>
      </c>
      <c r="J55" s="738">
        <f>IF(Weather_Site!M53&lt;180,Weather_Site!M53+180,Weather_Site!M53-180)</f>
        <v>19</v>
      </c>
      <c r="K55" s="635">
        <f t="shared" si="3"/>
        <v>7.0920800000000002</v>
      </c>
      <c r="L55" s="635">
        <f t="shared" si="4"/>
        <v>8.9265999999999988</v>
      </c>
      <c r="M55" s="635">
        <f t="shared" si="5"/>
        <v>9.4515200000000004</v>
      </c>
      <c r="N55" s="635">
        <f t="shared" si="6"/>
        <v>9.4515200000000004</v>
      </c>
      <c r="O55" s="636">
        <f t="shared" si="7"/>
        <v>0.56127369747684053</v>
      </c>
      <c r="P55" s="635">
        <f>IF($O$11,Weather_Site!H53,IF(0.191*(Weather_Site!K53+104)*(Weather_Site!J53+1)^1.5/(3.52*(Weather_Site!J53+1)^1.5+Weather_Site!I53-1)&gt;10, 10,0.191*(Weather_Site!K53+104)*(Weather_Site!J53+1)^1.5/(3.52*(Weather_Site!J53+1)^1.5+Weather_Site!I53-1)))</f>
        <v>9.8000000000000007</v>
      </c>
      <c r="Q55" s="636">
        <f t="shared" si="8"/>
        <v>0.99655637024742383</v>
      </c>
      <c r="R55" s="636">
        <f t="shared" si="9"/>
        <v>0.55934087867287086</v>
      </c>
      <c r="S55" s="635">
        <f t="shared" si="10"/>
        <v>1</v>
      </c>
      <c r="T55" s="707">
        <f t="shared" si="11"/>
        <v>146.24325218092901</v>
      </c>
      <c r="U55" s="707">
        <f t="shared" si="12"/>
        <v>387.18613803907624</v>
      </c>
      <c r="V55" s="707">
        <f t="shared" si="13"/>
        <v>679.12958902260448</v>
      </c>
      <c r="W55" s="636">
        <f t="shared" si="14"/>
        <v>1</v>
      </c>
      <c r="X55" s="636">
        <f t="shared" si="15"/>
        <v>1.9559964777963832E-6</v>
      </c>
      <c r="Y55" s="707">
        <f t="shared" si="16"/>
        <v>387.18670907943806</v>
      </c>
      <c r="Z55" s="635">
        <f t="shared" si="17"/>
        <v>2.910422464451242</v>
      </c>
      <c r="AA55" s="707">
        <f t="shared" si="18"/>
        <v>94.768628617446169</v>
      </c>
      <c r="AB55" s="707">
        <f t="shared" si="19"/>
        <v>4601.0687262273223</v>
      </c>
    </row>
    <row r="56" spans="1:28" x14ac:dyDescent="0.25">
      <c r="A56" s="23" t="str">
        <f>Weather_Site!A54</f>
        <v>Tue</v>
      </c>
      <c r="B56" s="24">
        <f>Weather_Site!B54</f>
        <v>41282</v>
      </c>
      <c r="C56" s="25">
        <f>Weather_Site!C54</f>
        <v>0.95833333333333337</v>
      </c>
      <c r="D56" s="27">
        <f>Weather_Site!D54</f>
        <v>26.9</v>
      </c>
      <c r="E56" s="27">
        <f>Weather_Site!E54</f>
        <v>42.6</v>
      </c>
      <c r="F56" s="28">
        <f>Weather_Site!F54</f>
        <v>171</v>
      </c>
      <c r="G56" s="27">
        <f>Weather_Site!G54</f>
        <v>14</v>
      </c>
      <c r="H56" s="548">
        <f>C$4</f>
        <v>0</v>
      </c>
      <c r="I56" s="27">
        <f t="shared" si="2"/>
        <v>4.666666666666667</v>
      </c>
      <c r="J56" s="738">
        <f>IF(Weather_Site!M54&lt;180,Weather_Site!M54+180,Weather_Site!M54-180)</f>
        <v>351</v>
      </c>
      <c r="K56" s="635">
        <f t="shared" si="3"/>
        <v>7.5393700000000008</v>
      </c>
      <c r="L56" s="635">
        <f t="shared" si="4"/>
        <v>9.5889000000000006</v>
      </c>
      <c r="M56" s="635">
        <f t="shared" si="5"/>
        <v>10.215530000000001</v>
      </c>
      <c r="N56" s="635">
        <f t="shared" si="6"/>
        <v>10.215530000000001</v>
      </c>
      <c r="O56" s="636">
        <f t="shared" si="7"/>
        <v>0.49670687886368292</v>
      </c>
      <c r="P56" s="635">
        <f>IF($O$11,Weather_Site!H54,IF(0.191*(Weather_Site!K54+104)*(Weather_Site!J54+1)^1.5/(3.52*(Weather_Site!J54+1)^1.5+Weather_Site!I54-1)&gt;10, 10,0.191*(Weather_Site!K54+104)*(Weather_Site!J54+1)^1.5/(3.52*(Weather_Site!J54+1)^1.5+Weather_Site!I54-1)))</f>
        <v>9.8000000000000007</v>
      </c>
      <c r="Q56" s="636">
        <f t="shared" si="8"/>
        <v>0.99655637024742383</v>
      </c>
      <c r="R56" s="636">
        <f t="shared" si="9"/>
        <v>0.49499640427731867</v>
      </c>
      <c r="S56" s="635">
        <f t="shared" si="10"/>
        <v>1</v>
      </c>
      <c r="T56" s="707">
        <f t="shared" si="11"/>
        <v>129.4199775835051</v>
      </c>
      <c r="U56" s="707">
        <f t="shared" si="12"/>
        <v>342.64569857668795</v>
      </c>
      <c r="V56" s="707">
        <f t="shared" si="13"/>
        <v>601.00507118688301</v>
      </c>
      <c r="W56" s="636">
        <f t="shared" si="14"/>
        <v>1</v>
      </c>
      <c r="X56" s="636">
        <f t="shared" si="15"/>
        <v>3.4706145242437104E-7</v>
      </c>
      <c r="Y56" s="707">
        <f t="shared" si="16"/>
        <v>342.64578824326702</v>
      </c>
      <c r="Z56" s="635">
        <f t="shared" si="17"/>
        <v>2.664297871287221</v>
      </c>
      <c r="AA56" s="707">
        <f t="shared" si="18"/>
        <v>83.866699687504166</v>
      </c>
      <c r="AB56" s="707">
        <f t="shared" si="19"/>
        <v>4071.7741169574897</v>
      </c>
    </row>
    <row r="57" spans="1:28" x14ac:dyDescent="0.25">
      <c r="A57" s="23" t="str">
        <f>Weather_Site!A55</f>
        <v>Wed</v>
      </c>
      <c r="B57" s="24">
        <f>Weather_Site!B55</f>
        <v>41283</v>
      </c>
      <c r="C57" s="25">
        <f>Weather_Site!C55</f>
        <v>0</v>
      </c>
      <c r="D57" s="27">
        <f>Weather_Site!D55</f>
        <v>24.5</v>
      </c>
      <c r="E57" s="27">
        <f>Weather_Site!E55</f>
        <v>51.7</v>
      </c>
      <c r="F57" s="28">
        <f>Weather_Site!F55</f>
        <v>176</v>
      </c>
      <c r="G57" s="27">
        <f>Weather_Site!G55</f>
        <v>12</v>
      </c>
      <c r="H57" s="548">
        <f>C$4</f>
        <v>0</v>
      </c>
      <c r="I57" s="27">
        <f t="shared" si="2"/>
        <v>4</v>
      </c>
      <c r="J57" s="738">
        <f>IF(Weather_Site!M55&lt;180,Weather_Site!M55+180,Weather_Site!M55-180)</f>
        <v>356</v>
      </c>
      <c r="K57" s="635">
        <f t="shared" si="3"/>
        <v>8.71265</v>
      </c>
      <c r="L57" s="635">
        <f t="shared" si="4"/>
        <v>11.2348</v>
      </c>
      <c r="M57" s="635">
        <f t="shared" si="5"/>
        <v>12.13325</v>
      </c>
      <c r="N57" s="635">
        <f t="shared" si="6"/>
        <v>12.13325</v>
      </c>
      <c r="O57" s="636">
        <f t="shared" si="7"/>
        <v>0.35740266031989176</v>
      </c>
      <c r="P57" s="635">
        <f>IF($O$11,Weather_Site!H55,IF(0.191*(Weather_Site!K55+104)*(Weather_Site!J55+1)^1.5/(3.52*(Weather_Site!J55+1)^1.5+Weather_Site!I55-1)&gt;10, 10,0.191*(Weather_Site!K55+104)*(Weather_Site!J55+1)^1.5/(3.52*(Weather_Site!J55+1)^1.5+Weather_Site!I55-1)))</f>
        <v>9.8000000000000007</v>
      </c>
      <c r="Q57" s="636">
        <f t="shared" si="8"/>
        <v>0.99655637024742383</v>
      </c>
      <c r="R57" s="636">
        <f t="shared" si="9"/>
        <v>0.35617189788516429</v>
      </c>
      <c r="S57" s="635">
        <f t="shared" si="10"/>
        <v>1</v>
      </c>
      <c r="T57" s="707">
        <f t="shared" si="11"/>
        <v>79.139873806527518</v>
      </c>
      <c r="U57" s="707">
        <f t="shared" si="12"/>
        <v>208.90260803605267</v>
      </c>
      <c r="V57" s="707">
        <f t="shared" si="13"/>
        <v>359.90126344912261</v>
      </c>
      <c r="W57" s="636">
        <f t="shared" si="14"/>
        <v>1</v>
      </c>
      <c r="X57" s="636">
        <f t="shared" si="15"/>
        <v>0</v>
      </c>
      <c r="Y57" s="707">
        <f t="shared" si="16"/>
        <v>208.90260803605267</v>
      </c>
      <c r="Z57" s="635">
        <f t="shared" si="17"/>
        <v>1.8629833233816964</v>
      </c>
      <c r="AA57" s="707">
        <f t="shared" si="18"/>
        <v>57.315245839566686</v>
      </c>
      <c r="AB57" s="707">
        <f t="shared" si="19"/>
        <v>2482.4593254950923</v>
      </c>
    </row>
    <row r="58" spans="1:28" x14ac:dyDescent="0.25">
      <c r="A58" s="23" t="str">
        <f>Weather_Site!A56</f>
        <v>Wed</v>
      </c>
      <c r="B58" s="24">
        <f>Weather_Site!B56</f>
        <v>41283</v>
      </c>
      <c r="C58" s="25">
        <f>Weather_Site!C56</f>
        <v>4.1666666666666664E-2</v>
      </c>
      <c r="D58" s="27">
        <f>Weather_Site!D56</f>
        <v>22.1</v>
      </c>
      <c r="E58" s="27">
        <f>Weather_Site!E56</f>
        <v>62.1</v>
      </c>
      <c r="F58" s="28">
        <f>Weather_Site!F56</f>
        <v>172</v>
      </c>
      <c r="G58" s="27">
        <f>Weather_Site!G56</f>
        <v>10</v>
      </c>
      <c r="H58" s="548">
        <f>C$4</f>
        <v>0</v>
      </c>
      <c r="I58" s="27">
        <f t="shared" si="2"/>
        <v>3.3333333333333335</v>
      </c>
      <c r="J58" s="738">
        <f>IF(Weather_Site!M56&lt;180,Weather_Site!M56+180,Weather_Site!M56-180)</f>
        <v>352</v>
      </c>
      <c r="K58" s="635">
        <f t="shared" si="3"/>
        <v>10.047129999999999</v>
      </c>
      <c r="L58" s="635">
        <f t="shared" si="4"/>
        <v>13.1004</v>
      </c>
      <c r="M58" s="635">
        <f t="shared" si="5"/>
        <v>14.308370000000002</v>
      </c>
      <c r="N58" s="635">
        <f t="shared" si="6"/>
        <v>14.308370000000002</v>
      </c>
      <c r="O58" s="636">
        <f t="shared" si="7"/>
        <v>0.24980493286302541</v>
      </c>
      <c r="P58" s="635">
        <f>IF($O$11,Weather_Site!H56,IF(0.191*(Weather_Site!K56+104)*(Weather_Site!J56+1)^1.5/(3.52*(Weather_Site!J56+1)^1.5+Weather_Site!I56-1)&gt;10, 10,0.191*(Weather_Site!K56+104)*(Weather_Site!J56+1)^1.5/(3.52*(Weather_Site!J56+1)^1.5+Weather_Site!I56-1)))</f>
        <v>9.8000000000000007</v>
      </c>
      <c r="Q58" s="636">
        <f t="shared" si="8"/>
        <v>0.99655637024742383</v>
      </c>
      <c r="R58" s="636">
        <f t="shared" si="9"/>
        <v>0.24894469716387801</v>
      </c>
      <c r="S58" s="635">
        <f t="shared" si="10"/>
        <v>1</v>
      </c>
      <c r="T58" s="707">
        <f t="shared" si="11"/>
        <v>45.37785943940915</v>
      </c>
      <c r="U58" s="707">
        <f t="shared" si="12"/>
        <v>118.64995947425501</v>
      </c>
      <c r="V58" s="707">
        <f t="shared" si="13"/>
        <v>202.44150891725056</v>
      </c>
      <c r="W58" s="636">
        <f t="shared" si="14"/>
        <v>1</v>
      </c>
      <c r="X58" s="636">
        <f t="shared" si="15"/>
        <v>0</v>
      </c>
      <c r="Y58" s="707">
        <f t="shared" si="16"/>
        <v>118.64995947425501</v>
      </c>
      <c r="Z58" s="635">
        <f t="shared" si="17"/>
        <v>1.2376134649180899</v>
      </c>
      <c r="AA58" s="707">
        <f t="shared" si="18"/>
        <v>37.031822557507802</v>
      </c>
      <c r="AB58" s="707">
        <f t="shared" si="19"/>
        <v>1409.9570184190638</v>
      </c>
    </row>
    <row r="59" spans="1:28" x14ac:dyDescent="0.25">
      <c r="A59" s="675" t="str">
        <f>Weather_Site!A57</f>
        <v>Wed</v>
      </c>
      <c r="B59" s="672">
        <f>Weather_Site!B57</f>
        <v>41283</v>
      </c>
      <c r="C59" s="673">
        <f>Weather_Site!C57</f>
        <v>8.3333333333333329E-2</v>
      </c>
      <c r="D59" s="413">
        <f>Weather_Site!D57</f>
        <v>19.600000000000001</v>
      </c>
      <c r="E59" s="413">
        <f>Weather_Site!E57</f>
        <v>74.8</v>
      </c>
      <c r="F59" s="674">
        <f>Weather_Site!F57</f>
        <v>161</v>
      </c>
      <c r="G59" s="413">
        <f>Weather_Site!G57</f>
        <v>8</v>
      </c>
      <c r="H59" s="548">
        <f>C$4</f>
        <v>0</v>
      </c>
      <c r="I59" s="413">
        <f t="shared" si="2"/>
        <v>2.6666666666666665</v>
      </c>
      <c r="J59" s="413">
        <f>IF(Weather_Site!M57&lt;180,Weather_Site!M57+180,Weather_Site!M57-180)</f>
        <v>341</v>
      </c>
      <c r="K59" s="711">
        <f t="shared" si="3"/>
        <v>11.66868</v>
      </c>
      <c r="L59" s="711">
        <f t="shared" si="4"/>
        <v>15.3592</v>
      </c>
      <c r="M59" s="711">
        <f t="shared" si="5"/>
        <v>16.943719999999999</v>
      </c>
      <c r="N59" s="711">
        <f t="shared" si="6"/>
        <v>16.943719999999999</v>
      </c>
      <c r="O59" s="713">
        <f t="shared" si="7"/>
        <v>0.19076194974148253</v>
      </c>
      <c r="P59" s="711">
        <f>IF($O$11,Weather_Site!H57,IF(0.191*(Weather_Site!K57+104)*(Weather_Site!J57+1)^1.5/(3.52*(Weather_Site!J57+1)^1.5+Weather_Site!I57-1)&gt;10, 10,0.191*(Weather_Site!K57+104)*(Weather_Site!J57+1)^1.5/(3.52*(Weather_Site!J57+1)^1.5+Weather_Site!I57-1)))</f>
        <v>9.8000000000000007</v>
      </c>
      <c r="Q59" s="713">
        <f t="shared" si="8"/>
        <v>0.99655637024742383</v>
      </c>
      <c r="R59" s="713">
        <f t="shared" si="9"/>
        <v>0.19010503621569333</v>
      </c>
      <c r="S59" s="711">
        <f t="shared" si="10"/>
        <v>1</v>
      </c>
      <c r="T59" s="716">
        <f t="shared" si="11"/>
        <v>26.900596926310513</v>
      </c>
      <c r="U59" s="716">
        <f t="shared" si="12"/>
        <v>68.628084761995183</v>
      </c>
      <c r="V59" s="716">
        <f t="shared" si="13"/>
        <v>118.50682095321082</v>
      </c>
      <c r="W59" s="713">
        <f t="shared" si="14"/>
        <v>1</v>
      </c>
      <c r="X59" s="713">
        <f t="shared" si="15"/>
        <v>0</v>
      </c>
      <c r="Y59" s="716">
        <f t="shared" si="16"/>
        <v>68.628084761995183</v>
      </c>
      <c r="Z59" s="711">
        <f t="shared" si="17"/>
        <v>0.83306792528376727</v>
      </c>
      <c r="AA59" s="716">
        <f t="shared" si="18"/>
        <v>24.836452215545446</v>
      </c>
      <c r="AB59" s="716">
        <f t="shared" si="19"/>
        <v>815.53040725504286</v>
      </c>
    </row>
    <row r="60" spans="1:28" x14ac:dyDescent="0.25">
      <c r="A60" s="675" t="str">
        <f>Weather_Site!A58</f>
        <v>Wed</v>
      </c>
      <c r="B60" s="672">
        <f>Weather_Site!B58</f>
        <v>41283</v>
      </c>
      <c r="C60" s="673">
        <f>Weather_Site!C58</f>
        <v>0.125</v>
      </c>
      <c r="D60" s="413">
        <f>Weather_Site!D58</f>
        <v>19.5</v>
      </c>
      <c r="E60" s="413">
        <f>Weather_Site!E58</f>
        <v>74.3</v>
      </c>
      <c r="F60" s="674">
        <f>Weather_Site!F58</f>
        <v>157</v>
      </c>
      <c r="G60" s="413">
        <f>Weather_Site!G58</f>
        <v>9</v>
      </c>
      <c r="H60" s="548">
        <f>C$4</f>
        <v>0</v>
      </c>
      <c r="I60" s="413">
        <f t="shared" si="2"/>
        <v>3</v>
      </c>
      <c r="J60" s="413">
        <f>IF(Weather_Site!M58&lt;180,Weather_Site!M58+180,Weather_Site!M58-180)</f>
        <v>337</v>
      </c>
      <c r="K60" s="711">
        <f t="shared" si="3"/>
        <v>11.608549999999999</v>
      </c>
      <c r="L60" s="711">
        <f t="shared" si="4"/>
        <v>15.279200000000001</v>
      </c>
      <c r="M60" s="711">
        <f t="shared" si="5"/>
        <v>16.849550000000001</v>
      </c>
      <c r="N60" s="711">
        <f t="shared" si="6"/>
        <v>16.849550000000001</v>
      </c>
      <c r="O60" s="713">
        <f t="shared" si="7"/>
        <v>0.19179107425483455</v>
      </c>
      <c r="P60" s="711">
        <f>IF($O$11,Weather_Site!H58,IF(0.191*(Weather_Site!K58+104)*(Weather_Site!J58+1)^1.5/(3.52*(Weather_Site!J58+1)^1.5+Weather_Site!I58-1)&gt;10, 10,0.191*(Weather_Site!K58+104)*(Weather_Site!J58+1)^1.5/(3.52*(Weather_Site!J58+1)^1.5+Weather_Site!I58-1)))</f>
        <v>9.8000000000000007</v>
      </c>
      <c r="Q60" s="713">
        <f t="shared" si="8"/>
        <v>0.99655637024742383</v>
      </c>
      <c r="R60" s="713">
        <f t="shared" si="9"/>
        <v>0.19113061680525206</v>
      </c>
      <c r="S60" s="711">
        <f t="shared" si="10"/>
        <v>1</v>
      </c>
      <c r="T60" s="716">
        <f t="shared" si="11"/>
        <v>30.96664486609107</v>
      </c>
      <c r="U60" s="716">
        <f t="shared" si="12"/>
        <v>80.207998866273797</v>
      </c>
      <c r="V60" s="716">
        <f t="shared" si="13"/>
        <v>137.09353152739467</v>
      </c>
      <c r="W60" s="713">
        <f t="shared" si="14"/>
        <v>1</v>
      </c>
      <c r="X60" s="713">
        <f t="shared" si="15"/>
        <v>0</v>
      </c>
      <c r="Y60" s="716">
        <f t="shared" si="16"/>
        <v>80.207998866273797</v>
      </c>
      <c r="Z60" s="711">
        <f t="shared" si="17"/>
        <v>0.9324787392460977</v>
      </c>
      <c r="AA60" s="716">
        <f t="shared" si="18"/>
        <v>26.882959802344079</v>
      </c>
      <c r="AB60" s="716">
        <f t="shared" si="19"/>
        <v>953.13838652755362</v>
      </c>
    </row>
    <row r="61" spans="1:28" x14ac:dyDescent="0.25">
      <c r="A61" s="675" t="str">
        <f>Weather_Site!A59</f>
        <v>Wed</v>
      </c>
      <c r="B61" s="672">
        <f>Weather_Site!B59</f>
        <v>41283</v>
      </c>
      <c r="C61" s="673">
        <f>Weather_Site!C59</f>
        <v>0.16666666666666666</v>
      </c>
      <c r="D61" s="413">
        <f>Weather_Site!D59</f>
        <v>19.2</v>
      </c>
      <c r="E61" s="413">
        <f>Weather_Site!E59</f>
        <v>74.2</v>
      </c>
      <c r="F61" s="674">
        <f>Weather_Site!F59</f>
        <v>153</v>
      </c>
      <c r="G61" s="413">
        <f>Weather_Site!G59</f>
        <v>10</v>
      </c>
      <c r="H61" s="548">
        <f>C$4</f>
        <v>0</v>
      </c>
      <c r="I61" s="413">
        <f t="shared" si="2"/>
        <v>3.3333333333333335</v>
      </c>
      <c r="J61" s="413">
        <f>IF(Weather_Site!M59&lt;180,Weather_Site!M59+180,Weather_Site!M59-180)</f>
        <v>333</v>
      </c>
      <c r="K61" s="711">
        <f t="shared" si="3"/>
        <v>11.601760000000001</v>
      </c>
      <c r="L61" s="711">
        <f t="shared" si="4"/>
        <v>15.2758</v>
      </c>
      <c r="M61" s="711">
        <f t="shared" si="5"/>
        <v>16.844239999999999</v>
      </c>
      <c r="N61" s="711">
        <f t="shared" si="6"/>
        <v>16.844239999999999</v>
      </c>
      <c r="O61" s="713">
        <f t="shared" si="7"/>
        <v>0.19185095535684482</v>
      </c>
      <c r="P61" s="711">
        <f>IF($O$11,Weather_Site!H59,IF(0.191*(Weather_Site!K59+104)*(Weather_Site!J59+1)^1.5/(3.52*(Weather_Site!J59+1)^1.5+Weather_Site!I59-1)&gt;10, 10,0.191*(Weather_Site!K59+104)*(Weather_Site!J59+1)^1.5/(3.52*(Weather_Site!J59+1)^1.5+Weather_Site!I59-1)))</f>
        <v>9.8000000000000007</v>
      </c>
      <c r="Q61" s="713">
        <f t="shared" si="8"/>
        <v>0.99655637024742383</v>
      </c>
      <c r="R61" s="713">
        <f t="shared" si="9"/>
        <v>0.19119029169891782</v>
      </c>
      <c r="S61" s="711">
        <f t="shared" si="10"/>
        <v>1</v>
      </c>
      <c r="T61" s="716">
        <f t="shared" si="11"/>
        <v>34.850335362564174</v>
      </c>
      <c r="U61" s="716">
        <f t="shared" si="12"/>
        <v>91.123533139629203</v>
      </c>
      <c r="V61" s="716">
        <f t="shared" si="13"/>
        <v>155.47570035757442</v>
      </c>
      <c r="W61" s="713">
        <f t="shared" si="14"/>
        <v>1</v>
      </c>
      <c r="X61" s="713">
        <f t="shared" si="15"/>
        <v>0</v>
      </c>
      <c r="Y61" s="716">
        <f t="shared" si="16"/>
        <v>91.123533139629203</v>
      </c>
      <c r="Z61" s="711">
        <f t="shared" si="17"/>
        <v>1.0225921228947357</v>
      </c>
      <c r="AA61" s="716">
        <f t="shared" si="18"/>
        <v>28.440553414366168</v>
      </c>
      <c r="AB61" s="716">
        <f t="shared" si="19"/>
        <v>1082.8513188092604</v>
      </c>
    </row>
    <row r="62" spans="1:28" x14ac:dyDescent="0.25">
      <c r="A62" s="675" t="str">
        <f>Weather_Site!A60</f>
        <v>Wed</v>
      </c>
      <c r="B62" s="672">
        <f>Weather_Site!B60</f>
        <v>41283</v>
      </c>
      <c r="C62" s="673">
        <f>Weather_Site!C60</f>
        <v>0.20833333333333334</v>
      </c>
      <c r="D62" s="413">
        <f>Weather_Site!D60</f>
        <v>19.100000000000001</v>
      </c>
      <c r="E62" s="413">
        <f>Weather_Site!E60</f>
        <v>73.8</v>
      </c>
      <c r="F62" s="674">
        <f>Weather_Site!F60</f>
        <v>147</v>
      </c>
      <c r="G62" s="413">
        <f>Weather_Site!G60</f>
        <v>11</v>
      </c>
      <c r="H62" s="548">
        <f>C$4</f>
        <v>0</v>
      </c>
      <c r="I62" s="413">
        <f t="shared" si="2"/>
        <v>3.6666666666666665</v>
      </c>
      <c r="J62" s="413">
        <f>IF(Weather_Site!M60&lt;180,Weather_Site!M60+180,Weather_Site!M60-180)</f>
        <v>327</v>
      </c>
      <c r="K62" s="711">
        <f t="shared" si="3"/>
        <v>11.554029999999999</v>
      </c>
      <c r="L62" s="711">
        <f t="shared" si="4"/>
        <v>15.212700000000002</v>
      </c>
      <c r="M62" s="711">
        <f t="shared" si="5"/>
        <v>16.769869999999997</v>
      </c>
      <c r="N62" s="711">
        <f t="shared" si="6"/>
        <v>16.769869999999997</v>
      </c>
      <c r="O62" s="713">
        <f t="shared" si="7"/>
        <v>0.19271089749812376</v>
      </c>
      <c r="P62" s="711">
        <f>IF($O$11,Weather_Site!H60,IF(0.191*(Weather_Site!K60+104)*(Weather_Site!J60+1)^1.5/(3.52*(Weather_Site!J60+1)^1.5+Weather_Site!I60-1)&gt;10, 10,0.191*(Weather_Site!K60+104)*(Weather_Site!J60+1)^1.5/(3.52*(Weather_Site!J60+1)^1.5+Weather_Site!I60-1)))</f>
        <v>9.8000000000000007</v>
      </c>
      <c r="Q62" s="713">
        <f t="shared" si="8"/>
        <v>0.99655637024742383</v>
      </c>
      <c r="R62" s="713">
        <f t="shared" si="9"/>
        <v>0.19204727251785356</v>
      </c>
      <c r="S62" s="711">
        <f t="shared" si="10"/>
        <v>1</v>
      </c>
      <c r="T62" s="716">
        <f t="shared" si="11"/>
        <v>38.857022312026842</v>
      </c>
      <c r="U62" s="716">
        <f t="shared" si="12"/>
        <v>102.2012550064395</v>
      </c>
      <c r="V62" s="716">
        <f t="shared" si="13"/>
        <v>174.95046761630311</v>
      </c>
      <c r="W62" s="713">
        <f t="shared" si="14"/>
        <v>1</v>
      </c>
      <c r="X62" s="713">
        <f t="shared" si="15"/>
        <v>0</v>
      </c>
      <c r="Y62" s="716">
        <f t="shared" si="16"/>
        <v>102.2012550064395</v>
      </c>
      <c r="Z62" s="711">
        <f t="shared" si="17"/>
        <v>1.1110315929455135</v>
      </c>
      <c r="AA62" s="716">
        <f t="shared" si="18"/>
        <v>29.845010806692994</v>
      </c>
      <c r="AB62" s="716">
        <f t="shared" si="19"/>
        <v>1214.4915803265226</v>
      </c>
    </row>
    <row r="63" spans="1:28" x14ac:dyDescent="0.25">
      <c r="A63" s="675" t="str">
        <f>Weather_Site!A61</f>
        <v>Wed</v>
      </c>
      <c r="B63" s="672">
        <f>Weather_Site!B61</f>
        <v>41283</v>
      </c>
      <c r="C63" s="673">
        <f>Weather_Site!C61</f>
        <v>0.25</v>
      </c>
      <c r="D63" s="413">
        <f>Weather_Site!D61</f>
        <v>18.2</v>
      </c>
      <c r="E63" s="413">
        <f>Weather_Site!E61</f>
        <v>72.599999999999994</v>
      </c>
      <c r="F63" s="674">
        <f>Weather_Site!F61</f>
        <v>150</v>
      </c>
      <c r="G63" s="413">
        <f>Weather_Site!G61</f>
        <v>11</v>
      </c>
      <c r="H63" s="548">
        <f>C$4</f>
        <v>0</v>
      </c>
      <c r="I63" s="413">
        <f t="shared" si="2"/>
        <v>3.6666666666666665</v>
      </c>
      <c r="J63" s="413">
        <f>IF(Weather_Site!M61&lt;180,Weather_Site!M61+180,Weather_Site!M61-180)</f>
        <v>330</v>
      </c>
      <c r="K63" s="711">
        <f t="shared" si="3"/>
        <v>11.42206</v>
      </c>
      <c r="L63" s="711">
        <f t="shared" si="4"/>
        <v>15.0504</v>
      </c>
      <c r="M63" s="711">
        <f t="shared" si="5"/>
        <v>16.57574</v>
      </c>
      <c r="N63" s="711">
        <f t="shared" si="6"/>
        <v>16.57574</v>
      </c>
      <c r="O63" s="713">
        <f t="shared" si="7"/>
        <v>0.19514943210707125</v>
      </c>
      <c r="P63" s="711">
        <f>IF($O$11,Weather_Site!H61,IF(0.191*(Weather_Site!K61+104)*(Weather_Site!J61+1)^1.5/(3.52*(Weather_Site!J61+1)^1.5+Weather_Site!I61-1)&gt;10, 10,0.191*(Weather_Site!K61+104)*(Weather_Site!J61+1)^1.5/(3.52*(Weather_Site!J61+1)^1.5+Weather_Site!I61-1)))</f>
        <v>9.8000000000000007</v>
      </c>
      <c r="Q63" s="713">
        <f t="shared" si="8"/>
        <v>0.99655637024742383</v>
      </c>
      <c r="R63" s="713">
        <f t="shared" si="9"/>
        <v>0.19447740971646899</v>
      </c>
      <c r="S63" s="711">
        <f t="shared" si="10"/>
        <v>1</v>
      </c>
      <c r="T63" s="716">
        <f t="shared" si="11"/>
        <v>39.348713207241751</v>
      </c>
      <c r="U63" s="716">
        <f t="shared" si="12"/>
        <v>103.49449426092171</v>
      </c>
      <c r="V63" s="716">
        <f t="shared" si="13"/>
        <v>177.16426442630475</v>
      </c>
      <c r="W63" s="713">
        <f t="shared" si="14"/>
        <v>1</v>
      </c>
      <c r="X63" s="713">
        <f t="shared" si="15"/>
        <v>0</v>
      </c>
      <c r="Y63" s="716">
        <f t="shared" si="16"/>
        <v>103.49449426092171</v>
      </c>
      <c r="Z63" s="711">
        <f t="shared" si="17"/>
        <v>1.1211784055336071</v>
      </c>
      <c r="AA63" s="716">
        <f t="shared" si="18"/>
        <v>30.222665068602296</v>
      </c>
      <c r="AB63" s="716">
        <f t="shared" si="19"/>
        <v>1229.8595734672865</v>
      </c>
    </row>
    <row r="64" spans="1:28" x14ac:dyDescent="0.25">
      <c r="A64" s="23" t="str">
        <f>Weather_Site!A62</f>
        <v>Wed</v>
      </c>
      <c r="B64" s="24">
        <f>Weather_Site!B62</f>
        <v>41283</v>
      </c>
      <c r="C64" s="25">
        <f>Weather_Site!C62</f>
        <v>0.29166666666666669</v>
      </c>
      <c r="D64" s="27">
        <f>Weather_Site!D62</f>
        <v>17.399999999999999</v>
      </c>
      <c r="E64" s="27">
        <f>Weather_Site!E62</f>
        <v>71.099999999999994</v>
      </c>
      <c r="F64" s="28">
        <f>Weather_Site!F62</f>
        <v>156</v>
      </c>
      <c r="G64" s="27">
        <f>Weather_Site!G62</f>
        <v>11</v>
      </c>
      <c r="H64" s="548">
        <f>C$4</f>
        <v>0</v>
      </c>
      <c r="I64" s="27">
        <f t="shared" si="2"/>
        <v>3.6666666666666665</v>
      </c>
      <c r="J64" s="738">
        <f>IF(Weather_Site!M62&lt;180,Weather_Site!M62+180,Weather_Site!M62-180)</f>
        <v>336</v>
      </c>
      <c r="K64" s="635">
        <f t="shared" si="3"/>
        <v>11.25102</v>
      </c>
      <c r="L64" s="635">
        <f t="shared" si="4"/>
        <v>14.8329</v>
      </c>
      <c r="M64" s="635">
        <f t="shared" si="5"/>
        <v>16.31738</v>
      </c>
      <c r="N64" s="635">
        <f t="shared" si="6"/>
        <v>16.31738</v>
      </c>
      <c r="O64" s="636">
        <f t="shared" si="7"/>
        <v>0.19885734349677797</v>
      </c>
      <c r="P64" s="635">
        <f>IF($O$11,Weather_Site!H62,IF(0.191*(Weather_Site!K62+104)*(Weather_Site!J62+1)^1.5/(3.52*(Weather_Site!J62+1)^1.5+Weather_Site!I62-1)&gt;10, 10,0.191*(Weather_Site!K62+104)*(Weather_Site!J62+1)^1.5/(3.52*(Weather_Site!J62+1)^1.5+Weather_Site!I62-1)))</f>
        <v>9.8000000000000007</v>
      </c>
      <c r="Q64" s="636">
        <f t="shared" si="8"/>
        <v>0.99655637024742383</v>
      </c>
      <c r="R64" s="636">
        <f t="shared" si="9"/>
        <v>0.1981725524321942</v>
      </c>
      <c r="S64" s="635">
        <f t="shared" si="10"/>
        <v>1</v>
      </c>
      <c r="T64" s="707">
        <f t="shared" si="11"/>
        <v>40.096353312037877</v>
      </c>
      <c r="U64" s="707">
        <f t="shared" si="12"/>
        <v>105.46092793125625</v>
      </c>
      <c r="V64" s="707">
        <f t="shared" si="13"/>
        <v>180.53045097792582</v>
      </c>
      <c r="W64" s="636">
        <f t="shared" si="14"/>
        <v>1</v>
      </c>
      <c r="X64" s="636">
        <f t="shared" si="15"/>
        <v>0</v>
      </c>
      <c r="Y64" s="707">
        <f t="shared" si="16"/>
        <v>105.46092793125625</v>
      </c>
      <c r="Z64" s="635">
        <f t="shared" si="17"/>
        <v>1.1365401264543364</v>
      </c>
      <c r="AA64" s="707">
        <f t="shared" si="18"/>
        <v>30.79690688332445</v>
      </c>
      <c r="AB64" s="707">
        <f t="shared" si="19"/>
        <v>1253.2273602497619</v>
      </c>
    </row>
    <row r="65" spans="1:28" x14ac:dyDescent="0.25">
      <c r="A65" s="23" t="str">
        <f>Weather_Site!A63</f>
        <v>Wed</v>
      </c>
      <c r="B65" s="24">
        <f>Weather_Site!B63</f>
        <v>41283</v>
      </c>
      <c r="C65" s="25">
        <f>Weather_Site!C63</f>
        <v>0.33333333333333331</v>
      </c>
      <c r="D65" s="27">
        <f>Weather_Site!D63</f>
        <v>16.5</v>
      </c>
      <c r="E65" s="27">
        <f>Weather_Site!E63</f>
        <v>70</v>
      </c>
      <c r="F65" s="28">
        <f>Weather_Site!F63</f>
        <v>157</v>
      </c>
      <c r="G65" s="27">
        <f>Weather_Site!G63</f>
        <v>11</v>
      </c>
      <c r="H65" s="548">
        <f>C$4</f>
        <v>0</v>
      </c>
      <c r="I65" s="27">
        <f t="shared" si="2"/>
        <v>3.6666666666666665</v>
      </c>
      <c r="J65" s="738">
        <f>IF(Weather_Site!M63&lt;180,Weather_Site!M63+180,Weather_Site!M63-180)</f>
        <v>337</v>
      </c>
      <c r="K65" s="635">
        <f t="shared" si="3"/>
        <v>11.131449999999999</v>
      </c>
      <c r="L65" s="635">
        <f t="shared" si="4"/>
        <v>14.6875</v>
      </c>
      <c r="M65" s="635">
        <f t="shared" si="5"/>
        <v>16.143050000000002</v>
      </c>
      <c r="N65" s="635">
        <f t="shared" si="6"/>
        <v>14.6875</v>
      </c>
      <c r="O65" s="636">
        <f t="shared" si="7"/>
        <v>0.23684883928298861</v>
      </c>
      <c r="P65" s="635">
        <f>IF($O$11,Weather_Site!H63,IF(0.191*(Weather_Site!K63+104)*(Weather_Site!J63+1)^1.5/(3.52*(Weather_Site!J63+1)^1.5+Weather_Site!I63-1)&gt;10, 10,0.191*(Weather_Site!K63+104)*(Weather_Site!J63+1)^1.5/(3.52*(Weather_Site!J63+1)^1.5+Weather_Site!I63-1)))</f>
        <v>9.8000000000000007</v>
      </c>
      <c r="Q65" s="636">
        <f t="shared" si="8"/>
        <v>0.99655637024742383</v>
      </c>
      <c r="R65" s="636">
        <f t="shared" si="9"/>
        <v>0.23603321957317058</v>
      </c>
      <c r="S65" s="635">
        <f t="shared" si="10"/>
        <v>1</v>
      </c>
      <c r="T65" s="707">
        <f t="shared" si="11"/>
        <v>47.756721348289872</v>
      </c>
      <c r="U65" s="707">
        <f t="shared" si="12"/>
        <v>125.6091323106188</v>
      </c>
      <c r="V65" s="707">
        <f t="shared" si="13"/>
        <v>215.02061235193463</v>
      </c>
      <c r="W65" s="636">
        <f t="shared" si="14"/>
        <v>1</v>
      </c>
      <c r="X65" s="636">
        <f t="shared" si="15"/>
        <v>0</v>
      </c>
      <c r="Y65" s="707">
        <f t="shared" si="16"/>
        <v>125.6091323106188</v>
      </c>
      <c r="Z65" s="635">
        <f t="shared" si="17"/>
        <v>1.2896797891710865</v>
      </c>
      <c r="AA65" s="707">
        <f t="shared" si="18"/>
        <v>36.68062501770202</v>
      </c>
      <c r="AB65" s="707">
        <f t="shared" si="19"/>
        <v>1492.6551889578536</v>
      </c>
    </row>
    <row r="66" spans="1:28" x14ac:dyDescent="0.25">
      <c r="A66" s="23" t="str">
        <f>Weather_Site!A64</f>
        <v>Wed</v>
      </c>
      <c r="B66" s="24">
        <f>Weather_Site!B64</f>
        <v>41283</v>
      </c>
      <c r="C66" s="25">
        <f>Weather_Site!C64</f>
        <v>0.375</v>
      </c>
      <c r="D66" s="27">
        <f>Weather_Site!D64</f>
        <v>17.5</v>
      </c>
      <c r="E66" s="27">
        <f>Weather_Site!E64</f>
        <v>62.3</v>
      </c>
      <c r="F66" s="28">
        <f>Weather_Site!F64</f>
        <v>156</v>
      </c>
      <c r="G66" s="27">
        <f>Weather_Site!G64</f>
        <v>10</v>
      </c>
      <c r="H66" s="548">
        <f>C$4</f>
        <v>0</v>
      </c>
      <c r="I66" s="27">
        <f t="shared" si="2"/>
        <v>3.3333333333333335</v>
      </c>
      <c r="J66" s="738">
        <f>IF(Weather_Site!M64&lt;180,Weather_Site!M64+180,Weather_Site!M64-180)</f>
        <v>336</v>
      </c>
      <c r="K66" s="635">
        <f t="shared" si="3"/>
        <v>10.15795</v>
      </c>
      <c r="L66" s="635">
        <f t="shared" si="4"/>
        <v>13.341200000000001</v>
      </c>
      <c r="M66" s="635">
        <f t="shared" si="5"/>
        <v>14.57015</v>
      </c>
      <c r="N66" s="635">
        <f t="shared" si="6"/>
        <v>13.341200000000001</v>
      </c>
      <c r="O66" s="636">
        <f t="shared" si="7"/>
        <v>0.2905971175100257</v>
      </c>
      <c r="P66" s="635">
        <f>IF($O$11,Weather_Site!H64,IF(0.191*(Weather_Site!K64+104)*(Weather_Site!J64+1)^1.5/(3.52*(Weather_Site!J64+1)^1.5+Weather_Site!I64-1)&gt;10, 10,0.191*(Weather_Site!K64+104)*(Weather_Site!J64+1)^1.5/(3.52*(Weather_Site!J64+1)^1.5+Weather_Site!I64-1)))</f>
        <v>9.8000000000000007</v>
      </c>
      <c r="Q66" s="636">
        <f t="shared" si="8"/>
        <v>0.99655637024742383</v>
      </c>
      <c r="R66" s="636">
        <f t="shared" si="9"/>
        <v>0.28959640863015529</v>
      </c>
      <c r="S66" s="635">
        <f t="shared" si="10"/>
        <v>1</v>
      </c>
      <c r="T66" s="707">
        <f t="shared" si="11"/>
        <v>52.787889337229416</v>
      </c>
      <c r="U66" s="707">
        <f t="shared" si="12"/>
        <v>138.02504146227486</v>
      </c>
      <c r="V66" s="707">
        <f t="shared" si="13"/>
        <v>235.49942862013302</v>
      </c>
      <c r="W66" s="636">
        <f t="shared" si="14"/>
        <v>1</v>
      </c>
      <c r="X66" s="636">
        <f t="shared" si="15"/>
        <v>0</v>
      </c>
      <c r="Y66" s="707">
        <f t="shared" si="16"/>
        <v>138.02504146227486</v>
      </c>
      <c r="Z66" s="635">
        <f t="shared" si="17"/>
        <v>1.3806357249632859</v>
      </c>
      <c r="AA66" s="707">
        <f t="shared" si="18"/>
        <v>43.078976736040836</v>
      </c>
      <c r="AB66" s="707">
        <f t="shared" si="19"/>
        <v>1640.1975760433663</v>
      </c>
    </row>
    <row r="67" spans="1:28" x14ac:dyDescent="0.25">
      <c r="A67" s="23" t="str">
        <f>Weather_Site!A65</f>
        <v>Wed</v>
      </c>
      <c r="B67" s="24">
        <f>Weather_Site!B65</f>
        <v>41283</v>
      </c>
      <c r="C67" s="25">
        <f>Weather_Site!C65</f>
        <v>0.41666666666666669</v>
      </c>
      <c r="D67" s="27">
        <f>Weather_Site!D65</f>
        <v>18.600000000000001</v>
      </c>
      <c r="E67" s="27">
        <f>Weather_Site!E65</f>
        <v>55.5</v>
      </c>
      <c r="F67" s="28">
        <f>Weather_Site!F65</f>
        <v>155</v>
      </c>
      <c r="G67" s="27">
        <f>Weather_Site!G65</f>
        <v>9</v>
      </c>
      <c r="H67" s="548">
        <f>C$4</f>
        <v>0</v>
      </c>
      <c r="I67" s="27">
        <f t="shared" si="2"/>
        <v>3</v>
      </c>
      <c r="J67" s="738">
        <f>IF(Weather_Site!M65&lt;180,Weather_Site!M65+180,Weather_Site!M65-180)</f>
        <v>335</v>
      </c>
      <c r="K67" s="635">
        <f t="shared" si="3"/>
        <v>9.294179999999999</v>
      </c>
      <c r="L67" s="635">
        <f t="shared" si="4"/>
        <v>12.1425</v>
      </c>
      <c r="M67" s="635">
        <f t="shared" si="5"/>
        <v>13.170620000000001</v>
      </c>
      <c r="N67" s="635">
        <f t="shared" si="6"/>
        <v>12.1425</v>
      </c>
      <c r="O67" s="636">
        <f t="shared" si="7"/>
        <v>0.35682543485713636</v>
      </c>
      <c r="P67" s="635">
        <f>IF($O$11,Weather_Site!H65,IF(0.191*(Weather_Site!K65+104)*(Weather_Site!J65+1)^1.5/(3.52*(Weather_Site!J65+1)^1.5+Weather_Site!I65-1)&gt;10, 10,0.191*(Weather_Site!K65+104)*(Weather_Site!J65+1)^1.5/(3.52*(Weather_Site!J65+1)^1.5+Weather_Site!I65-1)))</f>
        <v>9.8000000000000007</v>
      </c>
      <c r="Q67" s="636">
        <f t="shared" si="8"/>
        <v>0.99655637024742383</v>
      </c>
      <c r="R67" s="636">
        <f t="shared" si="9"/>
        <v>0.35559666017318642</v>
      </c>
      <c r="S67" s="635">
        <f t="shared" si="10"/>
        <v>1</v>
      </c>
      <c r="T67" s="707">
        <f t="shared" si="11"/>
        <v>57.613142651923603</v>
      </c>
      <c r="U67" s="707">
        <f t="shared" si="12"/>
        <v>149.22620453364192</v>
      </c>
      <c r="V67" s="707">
        <f t="shared" si="13"/>
        <v>255.061186728454</v>
      </c>
      <c r="W67" s="636">
        <f t="shared" si="14"/>
        <v>1</v>
      </c>
      <c r="X67" s="636">
        <f t="shared" si="15"/>
        <v>0</v>
      </c>
      <c r="Y67" s="707">
        <f t="shared" si="16"/>
        <v>149.22620453364192</v>
      </c>
      <c r="Z67" s="635">
        <f t="shared" si="17"/>
        <v>1.4607623187801266</v>
      </c>
      <c r="AA67" s="707">
        <f t="shared" si="18"/>
        <v>50.0154861689375</v>
      </c>
      <c r="AB67" s="707">
        <f t="shared" si="19"/>
        <v>1773.3047305414445</v>
      </c>
    </row>
    <row r="68" spans="1:28" x14ac:dyDescent="0.25">
      <c r="A68" s="23" t="str">
        <f>Weather_Site!A66</f>
        <v>Wed</v>
      </c>
      <c r="B68" s="24">
        <f>Weather_Site!B66</f>
        <v>41283</v>
      </c>
      <c r="C68" s="25">
        <f>Weather_Site!C66</f>
        <v>0.45833333333333331</v>
      </c>
      <c r="D68" s="27">
        <f>Weather_Site!D66</f>
        <v>19.600000000000001</v>
      </c>
      <c r="E68" s="27">
        <f>Weather_Site!E66</f>
        <v>49.4</v>
      </c>
      <c r="F68" s="28">
        <f>Weather_Site!F66</f>
        <v>155</v>
      </c>
      <c r="G68" s="27">
        <f>Weather_Site!G66</f>
        <v>8</v>
      </c>
      <c r="H68" s="548">
        <f>C$4</f>
        <v>0</v>
      </c>
      <c r="I68" s="27">
        <f t="shared" si="2"/>
        <v>2.6666666666666665</v>
      </c>
      <c r="J68" s="738">
        <f>IF(Weather_Site!M66&lt;180,Weather_Site!M66+180,Weather_Site!M66-180)</f>
        <v>335</v>
      </c>
      <c r="K68" s="635">
        <f t="shared" si="3"/>
        <v>8.5190800000000007</v>
      </c>
      <c r="L68" s="635">
        <f t="shared" si="4"/>
        <v>11.066600000000001</v>
      </c>
      <c r="M68" s="635">
        <f t="shared" si="5"/>
        <v>11.91452</v>
      </c>
      <c r="N68" s="635">
        <f t="shared" si="6"/>
        <v>11.066600000000001</v>
      </c>
      <c r="O68" s="636">
        <f t="shared" si="7"/>
        <v>0.43032881499872555</v>
      </c>
      <c r="P68" s="635">
        <f>IF($O$11,Weather_Site!H66,IF(0.191*(Weather_Site!K66+104)*(Weather_Site!J66+1)^1.5/(3.52*(Weather_Site!J66+1)^1.5+Weather_Site!I66-1)&gt;10, 10,0.191*(Weather_Site!K66+104)*(Weather_Site!J66+1)^1.5/(3.52*(Weather_Site!J66+1)^1.5+Weather_Site!I66-1)))</f>
        <v>9.9</v>
      </c>
      <c r="Q68" s="636">
        <f t="shared" si="8"/>
        <v>0.99756273521210204</v>
      </c>
      <c r="R68" s="636">
        <f t="shared" si="9"/>
        <v>0.4292799897307113</v>
      </c>
      <c r="S68" s="635">
        <f t="shared" si="10"/>
        <v>1</v>
      </c>
      <c r="T68" s="707">
        <f t="shared" si="11"/>
        <v>60.74477668847414</v>
      </c>
      <c r="U68" s="707">
        <f t="shared" si="12"/>
        <v>154.97045269459133</v>
      </c>
      <c r="V68" s="707">
        <f t="shared" si="13"/>
        <v>267.60262586675231</v>
      </c>
      <c r="W68" s="636">
        <f t="shared" si="14"/>
        <v>1</v>
      </c>
      <c r="X68" s="636">
        <f t="shared" si="15"/>
        <v>0</v>
      </c>
      <c r="Y68" s="707">
        <f t="shared" si="16"/>
        <v>154.97045269459133</v>
      </c>
      <c r="Z68" s="635">
        <f t="shared" si="17"/>
        <v>1.501203302096529</v>
      </c>
      <c r="AA68" s="707">
        <f t="shared" si="18"/>
        <v>56.083690176097029</v>
      </c>
      <c r="AB68" s="707">
        <f t="shared" si="19"/>
        <v>1841.5655461873935</v>
      </c>
    </row>
    <row r="69" spans="1:28" x14ac:dyDescent="0.25">
      <c r="A69" s="675" t="str">
        <f>Weather_Site!A67</f>
        <v>Wed</v>
      </c>
      <c r="B69" s="672">
        <f>Weather_Site!B67</f>
        <v>41283</v>
      </c>
      <c r="C69" s="673">
        <f>Weather_Site!C67</f>
        <v>0.5</v>
      </c>
      <c r="D69" s="413">
        <f>Weather_Site!D67</f>
        <v>21.1</v>
      </c>
      <c r="E69" s="413">
        <f>Weather_Site!E67</f>
        <v>44.7</v>
      </c>
      <c r="F69" s="674">
        <f>Weather_Site!F67</f>
        <v>147</v>
      </c>
      <c r="G69" s="413">
        <f>Weather_Site!G67</f>
        <v>9</v>
      </c>
      <c r="H69" s="548">
        <f>C$4</f>
        <v>0</v>
      </c>
      <c r="I69" s="413">
        <f t="shared" si="2"/>
        <v>3</v>
      </c>
      <c r="J69" s="413">
        <f>IF(Weather_Site!M67&lt;180,Weather_Site!M67+180,Weather_Site!M67-180)</f>
        <v>327</v>
      </c>
      <c r="K69" s="711">
        <f t="shared" si="3"/>
        <v>7.9082300000000014</v>
      </c>
      <c r="L69" s="711">
        <f t="shared" si="4"/>
        <v>10.204800000000001</v>
      </c>
      <c r="M69" s="711">
        <f t="shared" si="5"/>
        <v>10.911470000000001</v>
      </c>
      <c r="N69" s="711">
        <f t="shared" si="6"/>
        <v>10.204800000000001</v>
      </c>
      <c r="O69" s="713">
        <f t="shared" si="7"/>
        <v>0.49758408328851783</v>
      </c>
      <c r="P69" s="711">
        <f>IF($O$11,Weather_Site!H67,IF(0.191*(Weather_Site!K67+104)*(Weather_Site!J67+1)^1.5/(3.52*(Weather_Site!J67+1)^1.5+Weather_Site!I67-1)&gt;10, 10,0.191*(Weather_Site!K67+104)*(Weather_Site!J67+1)^1.5/(3.52*(Weather_Site!J67+1)^1.5+Weather_Site!I67-1)))</f>
        <v>9.9</v>
      </c>
      <c r="Q69" s="713">
        <f t="shared" si="8"/>
        <v>0.99756273521210204</v>
      </c>
      <c r="R69" s="713">
        <f t="shared" si="9"/>
        <v>0.49637133912330023</v>
      </c>
      <c r="S69" s="711">
        <f t="shared" si="10"/>
        <v>1</v>
      </c>
      <c r="T69" s="716">
        <f t="shared" si="11"/>
        <v>80.42120743009562</v>
      </c>
      <c r="U69" s="716">
        <f t="shared" si="12"/>
        <v>208.30232471974344</v>
      </c>
      <c r="V69" s="716">
        <f t="shared" si="13"/>
        <v>356.0355790549898</v>
      </c>
      <c r="W69" s="713">
        <f t="shared" si="14"/>
        <v>1</v>
      </c>
      <c r="X69" s="713">
        <f t="shared" si="15"/>
        <v>0</v>
      </c>
      <c r="Y69" s="716">
        <f t="shared" si="16"/>
        <v>208.30232471974344</v>
      </c>
      <c r="Z69" s="711">
        <f t="shared" si="17"/>
        <v>1.859111347049399</v>
      </c>
      <c r="AA69" s="716">
        <f t="shared" si="18"/>
        <v>69.815767770392625</v>
      </c>
      <c r="AB69" s="716">
        <f t="shared" si="19"/>
        <v>2475.325958752951</v>
      </c>
    </row>
    <row r="70" spans="1:28" x14ac:dyDescent="0.25">
      <c r="A70" s="675" t="str">
        <f>Weather_Site!A68</f>
        <v>Wed</v>
      </c>
      <c r="B70" s="672">
        <f>Weather_Site!B68</f>
        <v>41283</v>
      </c>
      <c r="C70" s="673">
        <f>Weather_Site!C68</f>
        <v>0.54166666666666663</v>
      </c>
      <c r="D70" s="413">
        <f>Weather_Site!D68</f>
        <v>22.5</v>
      </c>
      <c r="E70" s="413">
        <f>Weather_Site!E68</f>
        <v>41.1</v>
      </c>
      <c r="F70" s="674">
        <f>Weather_Site!F68</f>
        <v>142</v>
      </c>
      <c r="G70" s="413">
        <f>Weather_Site!G68</f>
        <v>11</v>
      </c>
      <c r="H70" s="548">
        <f>C$4</f>
        <v>0</v>
      </c>
      <c r="I70" s="413">
        <f t="shared" si="2"/>
        <v>3.6666666666666665</v>
      </c>
      <c r="J70" s="413">
        <f>IF(Weather_Site!M68&lt;180,Weather_Site!M68+180,Weather_Site!M68-180)</f>
        <v>322</v>
      </c>
      <c r="K70" s="711">
        <f t="shared" si="3"/>
        <v>7.4356499999999999</v>
      </c>
      <c r="L70" s="711">
        <f t="shared" si="4"/>
        <v>9.5334000000000021</v>
      </c>
      <c r="M70" s="711">
        <f t="shared" si="5"/>
        <v>10.13105</v>
      </c>
      <c r="N70" s="711">
        <f t="shared" si="6"/>
        <v>7.4356499999999999</v>
      </c>
      <c r="O70" s="713">
        <f t="shared" si="7"/>
        <v>0.74346973498131652</v>
      </c>
      <c r="P70" s="711">
        <f>IF($O$11,Weather_Site!H68,IF(0.191*(Weather_Site!K68+104)*(Weather_Site!J68+1)^1.5/(3.52*(Weather_Site!J68+1)^1.5+Weather_Site!I68-1)&gt;10, 10,0.191*(Weather_Site!K68+104)*(Weather_Site!J68+1)^1.5/(3.52*(Weather_Site!J68+1)^1.5+Weather_Site!I68-1)))</f>
        <v>9.9</v>
      </c>
      <c r="Q70" s="713">
        <f t="shared" si="8"/>
        <v>0.99756273521210204</v>
      </c>
      <c r="R70" s="713">
        <f t="shared" si="9"/>
        <v>0.74165770237537876</v>
      </c>
      <c r="S70" s="711">
        <f t="shared" si="10"/>
        <v>1</v>
      </c>
      <c r="T70" s="716">
        <f t="shared" si="11"/>
        <v>150.05998008332844</v>
      </c>
      <c r="U70" s="716">
        <f t="shared" si="12"/>
        <v>394.68588631431646</v>
      </c>
      <c r="V70" s="716">
        <f t="shared" si="13"/>
        <v>675.6324114404855</v>
      </c>
      <c r="W70" s="713">
        <f t="shared" si="14"/>
        <v>1</v>
      </c>
      <c r="X70" s="713">
        <f t="shared" si="15"/>
        <v>1.0830662713164437E-4</v>
      </c>
      <c r="Y70" s="716">
        <f t="shared" si="16"/>
        <v>394.7163146848572</v>
      </c>
      <c r="Z70" s="711">
        <f t="shared" si="17"/>
        <v>2.951234138853144</v>
      </c>
      <c r="AA70" s="716">
        <f t="shared" si="18"/>
        <v>115.26583187853556</v>
      </c>
      <c r="AB70" s="716">
        <f t="shared" si="19"/>
        <v>4690.5455395050531</v>
      </c>
    </row>
    <row r="71" spans="1:28" x14ac:dyDescent="0.25">
      <c r="A71" s="675" t="str">
        <f>Weather_Site!A69</f>
        <v>Wed</v>
      </c>
      <c r="B71" s="672">
        <f>Weather_Site!B69</f>
        <v>41283</v>
      </c>
      <c r="C71" s="673">
        <f>Weather_Site!C69</f>
        <v>0.58333333333333337</v>
      </c>
      <c r="D71" s="413">
        <f>Weather_Site!D69</f>
        <v>24</v>
      </c>
      <c r="E71" s="413">
        <f>Weather_Site!E69</f>
        <v>37.200000000000003</v>
      </c>
      <c r="F71" s="674">
        <f>Weather_Site!F69</f>
        <v>137</v>
      </c>
      <c r="G71" s="413">
        <f>Weather_Site!G69</f>
        <v>13</v>
      </c>
      <c r="H71" s="548">
        <f>C$4</f>
        <v>0</v>
      </c>
      <c r="I71" s="413">
        <f t="shared" si="2"/>
        <v>4.333333333333333</v>
      </c>
      <c r="J71" s="413">
        <f>IF(Weather_Site!M69&lt;180,Weather_Site!M69+180,Weather_Site!M69-180)</f>
        <v>317</v>
      </c>
      <c r="K71" s="711">
        <f t="shared" si="3"/>
        <v>6.9239999999999995</v>
      </c>
      <c r="L71" s="711">
        <f t="shared" si="4"/>
        <v>8.8068000000000008</v>
      </c>
      <c r="M71" s="711">
        <f t="shared" si="5"/>
        <v>9.2864000000000004</v>
      </c>
      <c r="N71" s="711">
        <f t="shared" si="6"/>
        <v>6.9239999999999995</v>
      </c>
      <c r="O71" s="713">
        <f t="shared" si="7"/>
        <v>0.7895780600766672</v>
      </c>
      <c r="P71" s="711">
        <f>IF($O$11,Weather_Site!H69,IF(0.191*(Weather_Site!K69+104)*(Weather_Site!J69+1)^1.5/(3.52*(Weather_Site!J69+1)^1.5+Weather_Site!I69-1)&gt;10, 10,0.191*(Weather_Site!K69+104)*(Weather_Site!J69+1)^1.5/(3.52*(Weather_Site!J69+1)^1.5+Weather_Site!I69-1)))</f>
        <v>9.9</v>
      </c>
      <c r="Q71" s="713">
        <f t="shared" si="8"/>
        <v>0.99756273521210204</v>
      </c>
      <c r="R71" s="713">
        <f t="shared" si="9"/>
        <v>0.78765364927354553</v>
      </c>
      <c r="S71" s="711">
        <f t="shared" si="10"/>
        <v>1</v>
      </c>
      <c r="T71" s="716">
        <f t="shared" si="11"/>
        <v>190.53227241676205</v>
      </c>
      <c r="U71" s="716">
        <f t="shared" si="12"/>
        <v>503.96572791413359</v>
      </c>
      <c r="V71" s="716">
        <f t="shared" si="13"/>
        <v>875.52875103599524</v>
      </c>
      <c r="W71" s="713">
        <f t="shared" si="14"/>
        <v>1</v>
      </c>
      <c r="X71" s="713">
        <f t="shared" si="15"/>
        <v>6.7227644594639816E-4</v>
      </c>
      <c r="Y71" s="716">
        <f t="shared" si="16"/>
        <v>504.21552098276305</v>
      </c>
      <c r="Z71" s="711">
        <f t="shared" si="17"/>
        <v>3.5227439286207014</v>
      </c>
      <c r="AA71" s="716">
        <f t="shared" si="18"/>
        <v>130.45004682364768</v>
      </c>
      <c r="AB71" s="716">
        <f t="shared" si="19"/>
        <v>5991.7611076785015</v>
      </c>
    </row>
    <row r="72" spans="1:28" x14ac:dyDescent="0.25">
      <c r="A72" s="675" t="str">
        <f>Weather_Site!A70</f>
        <v>Wed</v>
      </c>
      <c r="B72" s="672">
        <f>Weather_Site!B70</f>
        <v>41283</v>
      </c>
      <c r="C72" s="673">
        <f>Weather_Site!C70</f>
        <v>0.625</v>
      </c>
      <c r="D72" s="413">
        <f>Weather_Site!D70</f>
        <v>23.6</v>
      </c>
      <c r="E72" s="413">
        <f>Weather_Site!E70</f>
        <v>37.6</v>
      </c>
      <c r="F72" s="674">
        <f>Weather_Site!F70</f>
        <v>134</v>
      </c>
      <c r="G72" s="413">
        <f>Weather_Site!G70</f>
        <v>14</v>
      </c>
      <c r="H72" s="548">
        <f>C$4</f>
        <v>0</v>
      </c>
      <c r="I72" s="413">
        <f t="shared" si="2"/>
        <v>4.666666666666667</v>
      </c>
      <c r="J72" s="413">
        <f>IF(Weather_Site!M70&lt;180,Weather_Site!M70+180,Weather_Site!M70-180)</f>
        <v>314</v>
      </c>
      <c r="K72" s="711">
        <f t="shared" si="3"/>
        <v>6.9810799999999995</v>
      </c>
      <c r="L72" s="711">
        <f t="shared" si="4"/>
        <v>8.8924000000000021</v>
      </c>
      <c r="M72" s="711">
        <f t="shared" si="5"/>
        <v>9.384920000000001</v>
      </c>
      <c r="N72" s="711">
        <f t="shared" si="6"/>
        <v>6.9810799999999995</v>
      </c>
      <c r="O72" s="713">
        <f t="shared" si="7"/>
        <v>0.78448724164697248</v>
      </c>
      <c r="P72" s="711">
        <f>IF($O$11,Weather_Site!H70,IF(0.191*(Weather_Site!K70+104)*(Weather_Site!J70+1)^1.5/(3.52*(Weather_Site!J70+1)^1.5+Weather_Site!I70-1)&gt;10, 10,0.191*(Weather_Site!K70+104)*(Weather_Site!J70+1)^1.5/(3.52*(Weather_Site!J70+1)^1.5+Weather_Site!I70-1)))</f>
        <v>9.9</v>
      </c>
      <c r="Q72" s="713">
        <f t="shared" si="8"/>
        <v>0.99756273521210204</v>
      </c>
      <c r="R72" s="713">
        <f t="shared" si="9"/>
        <v>0.78257523851635113</v>
      </c>
      <c r="S72" s="711">
        <f t="shared" si="10"/>
        <v>1</v>
      </c>
      <c r="T72" s="716">
        <f t="shared" si="11"/>
        <v>204.6093041303192</v>
      </c>
      <c r="U72" s="716">
        <f t="shared" si="12"/>
        <v>541.71310533404642</v>
      </c>
      <c r="V72" s="716">
        <f t="shared" si="13"/>
        <v>950.17192623910682</v>
      </c>
      <c r="W72" s="713">
        <f t="shared" si="14"/>
        <v>1</v>
      </c>
      <c r="X72" s="713">
        <f t="shared" si="15"/>
        <v>7.8774931648394259E-4</v>
      </c>
      <c r="Y72" s="716">
        <f t="shared" si="16"/>
        <v>542.03486849102626</v>
      </c>
      <c r="Z72" s="711">
        <f t="shared" si="17"/>
        <v>3.7118570194426952</v>
      </c>
      <c r="AA72" s="716">
        <f t="shared" si="18"/>
        <v>132.66958794082294</v>
      </c>
      <c r="AB72" s="716">
        <f t="shared" si="19"/>
        <v>6441.1810205683623</v>
      </c>
    </row>
    <row r="73" spans="1:28" x14ac:dyDescent="0.25">
      <c r="A73" s="675" t="str">
        <f>Weather_Site!A71</f>
        <v>Wed</v>
      </c>
      <c r="B73" s="672">
        <f>Weather_Site!B71</f>
        <v>41283</v>
      </c>
      <c r="C73" s="673">
        <f>Weather_Site!C71</f>
        <v>0.66666666666666663</v>
      </c>
      <c r="D73" s="413">
        <f>Weather_Site!D71</f>
        <v>23.3</v>
      </c>
      <c r="E73" s="413">
        <f>Weather_Site!E71</f>
        <v>37.6</v>
      </c>
      <c r="F73" s="674">
        <f>Weather_Site!F71</f>
        <v>131</v>
      </c>
      <c r="G73" s="413">
        <f>Weather_Site!G71</f>
        <v>15</v>
      </c>
      <c r="H73" s="548">
        <f>C$4</f>
        <v>0</v>
      </c>
      <c r="I73" s="413">
        <f t="shared" si="2"/>
        <v>5</v>
      </c>
      <c r="J73" s="413">
        <f>IF(Weather_Site!M71&lt;180,Weather_Site!M71+180,Weather_Site!M71-180)</f>
        <v>311</v>
      </c>
      <c r="K73" s="711">
        <f t="shared" si="3"/>
        <v>6.9866899999999994</v>
      </c>
      <c r="L73" s="711">
        <f t="shared" si="4"/>
        <v>8.9059000000000008</v>
      </c>
      <c r="M73" s="711">
        <f t="shared" si="5"/>
        <v>9.3994100000000014</v>
      </c>
      <c r="N73" s="711">
        <f t="shared" si="6"/>
        <v>6.9866899999999994</v>
      </c>
      <c r="O73" s="713">
        <f t="shared" si="7"/>
        <v>0.78398604353130519</v>
      </c>
      <c r="P73" s="711">
        <f>IF($O$11,Weather_Site!H71,IF(0.191*(Weather_Site!K71+104)*(Weather_Site!J71+1)^1.5/(3.52*(Weather_Site!J71+1)^1.5+Weather_Site!I71-1)&gt;10, 10,0.191*(Weather_Site!K71+104)*(Weather_Site!J71+1)^1.5/(3.52*(Weather_Site!J71+1)^1.5+Weather_Site!I71-1)))</f>
        <v>9.9</v>
      </c>
      <c r="Q73" s="713">
        <f t="shared" si="8"/>
        <v>0.99756273521210204</v>
      </c>
      <c r="R73" s="713">
        <f t="shared" si="9"/>
        <v>0.78207526195320287</v>
      </c>
      <c r="S73" s="711">
        <f t="shared" si="10"/>
        <v>1</v>
      </c>
      <c r="T73" s="716">
        <f t="shared" si="11"/>
        <v>219.67198320281193</v>
      </c>
      <c r="U73" s="716">
        <f t="shared" si="12"/>
        <v>581.69244834145854</v>
      </c>
      <c r="V73" s="716">
        <f t="shared" si="13"/>
        <v>1030.906386055887</v>
      </c>
      <c r="W73" s="713">
        <f t="shared" si="14"/>
        <v>1</v>
      </c>
      <c r="X73" s="713">
        <f t="shared" si="15"/>
        <v>1.0437628574250539E-3</v>
      </c>
      <c r="Y73" s="716">
        <f t="shared" si="16"/>
        <v>582.16132116468259</v>
      </c>
      <c r="Z73" s="711">
        <f t="shared" si="17"/>
        <v>3.9085520099428432</v>
      </c>
      <c r="AA73" s="716">
        <f t="shared" si="18"/>
        <v>135.1977057976504</v>
      </c>
      <c r="AB73" s="716">
        <f t="shared" si="19"/>
        <v>6918.0170331736444</v>
      </c>
    </row>
    <row r="74" spans="1:28" x14ac:dyDescent="0.25">
      <c r="A74" s="23" t="str">
        <f>Weather_Site!A72</f>
        <v>Wed</v>
      </c>
      <c r="B74" s="24">
        <f>Weather_Site!B72</f>
        <v>41283</v>
      </c>
      <c r="C74" s="25">
        <f>Weather_Site!C72</f>
        <v>0.70833333333333337</v>
      </c>
      <c r="D74" s="27">
        <f>Weather_Site!D72</f>
        <v>22.9</v>
      </c>
      <c r="E74" s="27">
        <f>Weather_Site!E72</f>
        <v>38</v>
      </c>
      <c r="F74" s="28">
        <f>Weather_Site!F72</f>
        <v>126</v>
      </c>
      <c r="G74" s="27">
        <f>Weather_Site!G72</f>
        <v>16</v>
      </c>
      <c r="H74" s="548">
        <f>C$4</f>
        <v>0</v>
      </c>
      <c r="I74" s="27">
        <f t="shared" si="2"/>
        <v>5.333333333333333</v>
      </c>
      <c r="J74" s="738">
        <f>IF(Weather_Site!M72&lt;180,Weather_Site!M72+180,Weather_Site!M72-180)</f>
        <v>306</v>
      </c>
      <c r="K74" s="635">
        <f t="shared" si="3"/>
        <v>7.0437699999999994</v>
      </c>
      <c r="L74" s="635">
        <f t="shared" si="4"/>
        <v>8.9915000000000003</v>
      </c>
      <c r="M74" s="635">
        <f t="shared" si="5"/>
        <v>9.4979300000000002</v>
      </c>
      <c r="N74" s="635">
        <f t="shared" si="6"/>
        <v>7.0437699999999994</v>
      </c>
      <c r="O74" s="636">
        <f t="shared" si="7"/>
        <v>0.77887817206443011</v>
      </c>
      <c r="P74" s="635">
        <f>IF($O$11,Weather_Site!H72,IF(0.191*(Weather_Site!K72+104)*(Weather_Site!J72+1)^1.5/(3.52*(Weather_Site!J72+1)^1.5+Weather_Site!I72-1)&gt;10, 10,0.191*(Weather_Site!K72+104)*(Weather_Site!J72+1)^1.5/(3.52*(Weather_Site!J72+1)^1.5+Weather_Site!I72-1)))</f>
        <v>9.9</v>
      </c>
      <c r="Q74" s="636">
        <f t="shared" si="8"/>
        <v>0.99756273521210204</v>
      </c>
      <c r="R74" s="636">
        <f t="shared" si="9"/>
        <v>0.77697983972159512</v>
      </c>
      <c r="S74" s="635">
        <f t="shared" si="10"/>
        <v>1</v>
      </c>
      <c r="T74" s="707">
        <f t="shared" si="11"/>
        <v>233.24261906502309</v>
      </c>
      <c r="U74" s="707">
        <f t="shared" si="12"/>
        <v>617.38681551368802</v>
      </c>
      <c r="V74" s="707">
        <f t="shared" si="13"/>
        <v>1106.0391232395909</v>
      </c>
      <c r="W74" s="636">
        <f t="shared" si="14"/>
        <v>1</v>
      </c>
      <c r="X74" s="636">
        <f t="shared" si="15"/>
        <v>1.2224073457064526E-3</v>
      </c>
      <c r="Y74" s="707">
        <f t="shared" si="16"/>
        <v>617.98414768414864</v>
      </c>
      <c r="Z74" s="635">
        <f t="shared" si="17"/>
        <v>4.0809959916944196</v>
      </c>
      <c r="AA74" s="707">
        <f t="shared" si="18"/>
        <v>136.52884139363479</v>
      </c>
      <c r="AB74" s="707">
        <f t="shared" si="19"/>
        <v>7343.7116216466329</v>
      </c>
    </row>
    <row r="75" spans="1:28" x14ac:dyDescent="0.25">
      <c r="A75" s="23" t="str">
        <f>Weather_Site!A73</f>
        <v>Wed</v>
      </c>
      <c r="B75" s="24">
        <f>Weather_Site!B73</f>
        <v>41283</v>
      </c>
      <c r="C75" s="25">
        <f>Weather_Site!C73</f>
        <v>0.75</v>
      </c>
      <c r="D75" s="27">
        <f>Weather_Site!D73</f>
        <v>21.4</v>
      </c>
      <c r="E75" s="27">
        <f>Weather_Site!E73</f>
        <v>43.6</v>
      </c>
      <c r="F75" s="28">
        <f>Weather_Site!F73</f>
        <v>123</v>
      </c>
      <c r="G75" s="27">
        <f>Weather_Site!G73</f>
        <v>13</v>
      </c>
      <c r="H75" s="548">
        <f>C$4</f>
        <v>0</v>
      </c>
      <c r="I75" s="27">
        <f t="shared" si="2"/>
        <v>4.333333333333333</v>
      </c>
      <c r="J75" s="738">
        <f>IF(Weather_Site!M73&lt;180,Weather_Site!M73+180,Weather_Site!M73-180)</f>
        <v>303</v>
      </c>
      <c r="K75" s="635">
        <f t="shared" si="3"/>
        <v>7.7662199999999997</v>
      </c>
      <c r="L75" s="635">
        <f t="shared" si="4"/>
        <v>10.005400000000002</v>
      </c>
      <c r="M75" s="635">
        <f t="shared" si="5"/>
        <v>10.679180000000002</v>
      </c>
      <c r="N75" s="635">
        <f t="shared" si="6"/>
        <v>10.005400000000002</v>
      </c>
      <c r="O75" s="636">
        <f t="shared" si="7"/>
        <v>0.5140498567818601</v>
      </c>
      <c r="P75" s="635">
        <f>IF($O$11,Weather_Site!H73,IF(0.191*(Weather_Site!K73+104)*(Weather_Site!J73+1)^1.5/(3.52*(Weather_Site!J73+1)^1.5+Weather_Site!I73-1)&gt;10, 10,0.191*(Weather_Site!K73+104)*(Weather_Site!J73+1)^1.5/(3.52*(Weather_Site!J73+1)^1.5+Weather_Site!I73-1)))</f>
        <v>9.9</v>
      </c>
      <c r="Q75" s="636">
        <f t="shared" si="8"/>
        <v>0.99756273521210204</v>
      </c>
      <c r="R75" s="636">
        <f t="shared" si="9"/>
        <v>0.51279698116670169</v>
      </c>
      <c r="S75" s="635">
        <f t="shared" si="10"/>
        <v>1</v>
      </c>
      <c r="T75" s="707">
        <f t="shared" si="11"/>
        <v>124.04484407614964</v>
      </c>
      <c r="U75" s="707">
        <f t="shared" si="12"/>
        <v>328.10373458461027</v>
      </c>
      <c r="V75" s="707">
        <f t="shared" si="13"/>
        <v>570.00751646360766</v>
      </c>
      <c r="W75" s="636">
        <f t="shared" si="14"/>
        <v>1</v>
      </c>
      <c r="X75" s="636">
        <f t="shared" si="15"/>
        <v>4.168655775209251E-7</v>
      </c>
      <c r="Y75" s="707">
        <f t="shared" si="16"/>
        <v>328.10383542597003</v>
      </c>
      <c r="Z75" s="635">
        <f t="shared" si="17"/>
        <v>2.5820564347606187</v>
      </c>
      <c r="AA75" s="707">
        <f t="shared" si="18"/>
        <v>84.886638576521264</v>
      </c>
      <c r="AB75" s="707">
        <f t="shared" si="19"/>
        <v>3898.9672443119439</v>
      </c>
    </row>
    <row r="76" spans="1:28" x14ac:dyDescent="0.25">
      <c r="A76" s="23" t="str">
        <f>Weather_Site!A74</f>
        <v>Wed</v>
      </c>
      <c r="B76" s="24">
        <f>Weather_Site!B74</f>
        <v>41283</v>
      </c>
      <c r="C76" s="25">
        <f>Weather_Site!C74</f>
        <v>0.79166666666666663</v>
      </c>
      <c r="D76" s="27">
        <f>Weather_Site!D74</f>
        <v>19.8</v>
      </c>
      <c r="E76" s="27">
        <f>Weather_Site!E74</f>
        <v>50.1</v>
      </c>
      <c r="F76" s="28">
        <f>Weather_Site!F74</f>
        <v>118</v>
      </c>
      <c r="G76" s="27">
        <f>Weather_Site!G74</f>
        <v>10</v>
      </c>
      <c r="H76" s="548">
        <f>C$4</f>
        <v>0</v>
      </c>
      <c r="I76" s="27">
        <f t="shared" si="2"/>
        <v>3.3333333333333335</v>
      </c>
      <c r="J76" s="738">
        <f>IF(Weather_Site!M74&lt;180,Weather_Site!M74+180,Weather_Site!M74-180)</f>
        <v>298</v>
      </c>
      <c r="K76" s="635">
        <f t="shared" si="3"/>
        <v>8.6021400000000003</v>
      </c>
      <c r="L76" s="635">
        <f t="shared" si="4"/>
        <v>11.1759</v>
      </c>
      <c r="M76" s="635">
        <f t="shared" si="5"/>
        <v>12.04346</v>
      </c>
      <c r="N76" s="635">
        <f t="shared" si="6"/>
        <v>11.1759</v>
      </c>
      <c r="O76" s="636">
        <f t="shared" si="7"/>
        <v>0.42230005251031644</v>
      </c>
      <c r="P76" s="635">
        <f>IF($O$11,Weather_Site!H74,IF(0.191*(Weather_Site!K74+104)*(Weather_Site!J74+1)^1.5/(3.52*(Weather_Site!J74+1)^1.5+Weather_Site!I74-1)&gt;10, 10,0.191*(Weather_Site!K74+104)*(Weather_Site!J74+1)^1.5/(3.52*(Weather_Site!J74+1)^1.5+Weather_Site!I74-1)))</f>
        <v>9.9</v>
      </c>
      <c r="Q76" s="636">
        <f t="shared" si="8"/>
        <v>0.99756273521210204</v>
      </c>
      <c r="R76" s="636">
        <f t="shared" si="9"/>
        <v>0.42127079546240559</v>
      </c>
      <c r="S76" s="635">
        <f t="shared" si="10"/>
        <v>1</v>
      </c>
      <c r="T76" s="707">
        <f t="shared" si="11"/>
        <v>76.789612955029099</v>
      </c>
      <c r="U76" s="707">
        <f t="shared" si="12"/>
        <v>200.78259701349549</v>
      </c>
      <c r="V76" s="707">
        <f t="shared" si="13"/>
        <v>342.57687136046525</v>
      </c>
      <c r="W76" s="636">
        <f t="shared" si="14"/>
        <v>1</v>
      </c>
      <c r="X76" s="636">
        <f t="shared" si="15"/>
        <v>0</v>
      </c>
      <c r="Y76" s="707">
        <f t="shared" si="16"/>
        <v>200.78259701349549</v>
      </c>
      <c r="Z76" s="635">
        <f t="shared" si="17"/>
        <v>1.8103414772138045</v>
      </c>
      <c r="AA76" s="707">
        <f t="shared" si="18"/>
        <v>62.666228780741413</v>
      </c>
      <c r="AB76" s="707">
        <f t="shared" si="19"/>
        <v>2385.9665278437051</v>
      </c>
    </row>
    <row r="77" spans="1:28" x14ac:dyDescent="0.25">
      <c r="A77" s="23" t="str">
        <f>Weather_Site!A75</f>
        <v>Wed</v>
      </c>
      <c r="B77" s="24">
        <f>Weather_Site!B75</f>
        <v>41283</v>
      </c>
      <c r="C77" s="25">
        <f>Weather_Site!C75</f>
        <v>0.83333333333333337</v>
      </c>
      <c r="D77" s="27">
        <f>Weather_Site!D75</f>
        <v>18.2</v>
      </c>
      <c r="E77" s="27">
        <f>Weather_Site!E75</f>
        <v>58</v>
      </c>
      <c r="F77" s="28">
        <f>Weather_Site!F75</f>
        <v>109</v>
      </c>
      <c r="G77" s="27">
        <f>Weather_Site!G75</f>
        <v>8</v>
      </c>
      <c r="H77" s="548">
        <f>C$4</f>
        <v>0</v>
      </c>
      <c r="I77" s="27">
        <f t="shared" si="2"/>
        <v>2.6666666666666665</v>
      </c>
      <c r="J77" s="738">
        <f>IF(Weather_Site!M75&lt;180,Weather_Site!M75+180,Weather_Site!M75-180)</f>
        <v>289</v>
      </c>
      <c r="K77" s="635">
        <f t="shared" si="3"/>
        <v>9.6116600000000005</v>
      </c>
      <c r="L77" s="635">
        <f t="shared" si="4"/>
        <v>12.583000000000002</v>
      </c>
      <c r="M77" s="635">
        <f t="shared" si="5"/>
        <v>13.684939999999999</v>
      </c>
      <c r="N77" s="635">
        <f t="shared" si="6"/>
        <v>13.684939999999999</v>
      </c>
      <c r="O77" s="636">
        <f t="shared" si="7"/>
        <v>0.27480608396524886</v>
      </c>
      <c r="P77" s="635">
        <f>IF($O$11,Weather_Site!H75,IF(0.191*(Weather_Site!K75+104)*(Weather_Site!J75+1)^1.5/(3.52*(Weather_Site!J75+1)^1.5+Weather_Site!I75-1)&gt;10, 10,0.191*(Weather_Site!K75+104)*(Weather_Site!J75+1)^1.5/(3.52*(Weather_Site!J75+1)^1.5+Weather_Site!I75-1)))</f>
        <v>9.9</v>
      </c>
      <c r="Q77" s="636">
        <f t="shared" si="8"/>
        <v>0.99756273521210204</v>
      </c>
      <c r="R77" s="636">
        <f t="shared" si="9"/>
        <v>0.27413630877330025</v>
      </c>
      <c r="S77" s="635">
        <f t="shared" si="10"/>
        <v>1</v>
      </c>
      <c r="T77" s="707">
        <f t="shared" si="11"/>
        <v>38.791346573323366</v>
      </c>
      <c r="U77" s="707">
        <f t="shared" si="12"/>
        <v>98.963447835694254</v>
      </c>
      <c r="V77" s="707">
        <f t="shared" si="13"/>
        <v>170.88985703520135</v>
      </c>
      <c r="W77" s="636">
        <f t="shared" si="14"/>
        <v>1</v>
      </c>
      <c r="X77" s="636">
        <f t="shared" si="15"/>
        <v>0</v>
      </c>
      <c r="Y77" s="707">
        <f t="shared" si="16"/>
        <v>98.963447835694254</v>
      </c>
      <c r="Z77" s="635">
        <f t="shared" si="17"/>
        <v>1.0854700578275478</v>
      </c>
      <c r="AA77" s="707">
        <f t="shared" si="18"/>
        <v>35.814797276959411</v>
      </c>
      <c r="AB77" s="707">
        <f t="shared" si="19"/>
        <v>1176.0156384474999</v>
      </c>
    </row>
    <row r="78" spans="1:28" x14ac:dyDescent="0.25">
      <c r="A78" s="23" t="str">
        <f>Weather_Site!A76</f>
        <v>Wed</v>
      </c>
      <c r="B78" s="24">
        <f>Weather_Site!B76</f>
        <v>41283</v>
      </c>
      <c r="C78" s="25">
        <f>Weather_Site!C76</f>
        <v>0.875</v>
      </c>
      <c r="D78" s="27">
        <f>Weather_Site!D76</f>
        <v>17.399999999999999</v>
      </c>
      <c r="E78" s="27">
        <f>Weather_Site!E76</f>
        <v>62.2</v>
      </c>
      <c r="F78" s="28">
        <f>Weather_Site!F76</f>
        <v>101</v>
      </c>
      <c r="G78" s="27">
        <f>Weather_Site!G76</f>
        <v>7</v>
      </c>
      <c r="H78" s="548">
        <f>C$4</f>
        <v>0</v>
      </c>
      <c r="I78" s="27">
        <f t="shared" si="2"/>
        <v>2.3333333333333335</v>
      </c>
      <c r="J78" s="738">
        <f>IF(Weather_Site!M76&lt;180,Weather_Site!M76+180,Weather_Site!M76-180)</f>
        <v>281</v>
      </c>
      <c r="K78" s="635">
        <f t="shared" si="3"/>
        <v>10.14742</v>
      </c>
      <c r="L78" s="635">
        <f t="shared" si="4"/>
        <v>13.328800000000001</v>
      </c>
      <c r="M78" s="635">
        <f t="shared" si="5"/>
        <v>14.555180000000002</v>
      </c>
      <c r="N78" s="635">
        <f t="shared" si="6"/>
        <v>14.555180000000002</v>
      </c>
      <c r="O78" s="636">
        <f t="shared" si="7"/>
        <v>0.2411812276938452</v>
      </c>
      <c r="P78" s="635">
        <f>IF($O$11,Weather_Site!H76,IF(0.191*(Weather_Site!K76+104)*(Weather_Site!J76+1)^1.5/(3.52*(Weather_Site!J76+1)^1.5+Weather_Site!I76-1)&gt;10, 10,0.191*(Weather_Site!K76+104)*(Weather_Site!J76+1)^1.5/(3.52*(Weather_Site!J76+1)^1.5+Weather_Site!I76-1)))</f>
        <v>9.9</v>
      </c>
      <c r="Q78" s="636">
        <f t="shared" si="8"/>
        <v>0.99756273521210204</v>
      </c>
      <c r="R78" s="636">
        <f t="shared" si="9"/>
        <v>0.24059340518008498</v>
      </c>
      <c r="S78" s="635">
        <f t="shared" si="10"/>
        <v>1</v>
      </c>
      <c r="T78" s="707">
        <f t="shared" si="11"/>
        <v>29.035444800323297</v>
      </c>
      <c r="U78" s="707">
        <f t="shared" si="12"/>
        <v>72.23943606031024</v>
      </c>
      <c r="V78" s="707">
        <f t="shared" si="13"/>
        <v>127.92304778769993</v>
      </c>
      <c r="W78" s="636">
        <f t="shared" si="14"/>
        <v>1</v>
      </c>
      <c r="X78" s="636">
        <f t="shared" si="15"/>
        <v>0</v>
      </c>
      <c r="Y78" s="707">
        <f t="shared" si="16"/>
        <v>72.23943606031024</v>
      </c>
      <c r="Z78" s="635">
        <f t="shared" si="17"/>
        <v>0.86453664818021114</v>
      </c>
      <c r="AA78" s="707">
        <f t="shared" si="18"/>
        <v>28.409405403614219</v>
      </c>
      <c r="AB78" s="707">
        <f t="shared" si="19"/>
        <v>858.44529851668665</v>
      </c>
    </row>
    <row r="79" spans="1:28" x14ac:dyDescent="0.25">
      <c r="A79" s="675" t="str">
        <f>Weather_Site!A77</f>
        <v>Wed</v>
      </c>
      <c r="B79" s="672">
        <f>Weather_Site!B77</f>
        <v>41283</v>
      </c>
      <c r="C79" s="673">
        <f>Weather_Site!C77</f>
        <v>0.91666666666666663</v>
      </c>
      <c r="D79" s="413">
        <f>Weather_Site!D77</f>
        <v>16.5</v>
      </c>
      <c r="E79" s="413">
        <f>Weather_Site!E77</f>
        <v>66.8</v>
      </c>
      <c r="F79" s="674">
        <f>Weather_Site!F77</f>
        <v>91</v>
      </c>
      <c r="G79" s="413">
        <f>Weather_Site!G77</f>
        <v>7</v>
      </c>
      <c r="H79" s="548">
        <f>C$4</f>
        <v>0</v>
      </c>
      <c r="I79" s="413">
        <f t="shared" ref="I79:I93" si="20">G79/$O$10</f>
        <v>2.3333333333333335</v>
      </c>
      <c r="J79" s="413">
        <f>IF(Weather_Site!M77&lt;180,Weather_Site!M77+180,Weather_Site!M77-180)</f>
        <v>271</v>
      </c>
      <c r="K79" s="711">
        <f t="shared" ref="K79:K93" si="21">2.76+0.124*E79-0.0187*D79</f>
        <v>10.734649999999998</v>
      </c>
      <c r="L79" s="711">
        <f t="shared" ref="L79:L93" si="22">3.6+0.169*E79-0.045*D79</f>
        <v>14.146700000000001</v>
      </c>
      <c r="M79" s="711">
        <f t="shared" ref="M79:M93" si="23">3.08+0.198*E79-0.0483*D79</f>
        <v>15.509449999999999</v>
      </c>
      <c r="N79" s="711">
        <f t="shared" ref="N79:N93" si="24">IF(AND(OR(MONTH(B79)&gt;10,MONTH(B79)&lt;3),AND(HOUR(C79)&gt;=13,HOUR(C79)&lt;=17)),K79,IF(OR(HOUR(C79)&lt;8,HOUR(C79)&gt;=20),M79,L79))</f>
        <v>15.509449999999999</v>
      </c>
      <c r="O79" s="713">
        <f t="shared" ref="O79:O93" si="25">IF(N79&lt;=4.1,1,IF(N79&gt;=24,0,(0.9082+0.1206*N79-0.03106*N79^2+0.001853*N79^3-0.00003467*N79^4)))</f>
        <v>0.21430261891970304</v>
      </c>
      <c r="P79" s="711">
        <f>IF($O$11,Weather_Site!H77,IF(0.191*(Weather_Site!K77+104)*(Weather_Site!J77+1)^1.5/(3.52*(Weather_Site!J77+1)^1.5+Weather_Site!I77-1)&gt;10, 10,0.191*(Weather_Site!K77+104)*(Weather_Site!J77+1)^1.5/(3.52*(Weather_Site!J77+1)^1.5+Weather_Site!I77-1)))</f>
        <v>9.9</v>
      </c>
      <c r="Q79" s="713">
        <f t="shared" ref="Q79:Q93" si="26">1.008/(1+104.9*EXP(-0.9306*P79))</f>
        <v>0.99756273521210204</v>
      </c>
      <c r="R79" s="713">
        <f t="shared" ref="R79:R93" si="27">O79*Q79</f>
        <v>0.21378030669265574</v>
      </c>
      <c r="S79" s="711">
        <f t="shared" ref="S79:S93" si="28">MIN(IF(H79&gt;0,2^(H79/10),(2^(-H79/10))/(2*(2^(-H79/10))-1)),4)</f>
        <v>1</v>
      </c>
      <c r="T79" s="716">
        <f t="shared" ref="T79:T93" si="29">IF(I79&gt;2,(0.03+0.05024*(I79-1)^0.92628*(($E$6+$E$7)/10)^0.79928)*1000*R79*S79,0.03*R79*S79*1000)</f>
        <v>25.799569567273366</v>
      </c>
      <c r="U79" s="716">
        <f t="shared" ref="U79:U93" si="30">IF(I79&gt;2,(0.19591*(I79-1)^0.82569*(($E$6+$E$7)/10)^0.46722)*$C$10^0.495*1000*R79*S79,0.03*1000*R79*S79)</f>
        <v>64.188662131940831</v>
      </c>
      <c r="V79" s="716">
        <f t="shared" ref="V79:V93" si="31">(0.05235*(G79)^1.19128)*1000*R79*S79</f>
        <v>113.66657522738042</v>
      </c>
      <c r="W79" s="713">
        <f t="shared" ref="W79:W93" si="32">IF((E$6+E$7)&lt;1,0,1/(1+EXP(-(-23.9315+1.7033*I79+12.0822*R79+9.5236*($E$6+$E$7)))))</f>
        <v>1</v>
      </c>
      <c r="X79" s="713">
        <f t="shared" ref="X79:X93" si="33">IF(U79&lt;300,0,1/(1+EXP(-(-32.3074+0.2951*G79+26.8734*R79))))</f>
        <v>0</v>
      </c>
      <c r="Y79" s="716">
        <f t="shared" ref="Y79:Y93" si="34">IF(W79&lt;0.5,(T79*(1-W79)+U79*W79),(T79*(1-W79)+U79*W79*(1-X79)+V79*X79))</f>
        <v>64.188662131940831</v>
      </c>
      <c r="Z79" s="711">
        <f t="shared" ref="Z79:Z93" si="35">0.0193*Y79^0.723*EXP(0.64*$C$10)*1.07</f>
        <v>0.79374668274119808</v>
      </c>
      <c r="AA79" s="716">
        <f t="shared" ref="AA79:AA93" si="36">(1/(0.2204*G79+1))*Y79</f>
        <v>25.243299564236601</v>
      </c>
      <c r="AB79" s="716">
        <f t="shared" ref="AB79:AB93" si="37">18600*Y79/3600*$F$11/10</f>
        <v>762.77526833456352</v>
      </c>
    </row>
    <row r="80" spans="1:28" x14ac:dyDescent="0.25">
      <c r="A80" s="675" t="str">
        <f>Weather_Site!A78</f>
        <v>Wed</v>
      </c>
      <c r="B80" s="672">
        <f>Weather_Site!B78</f>
        <v>41283</v>
      </c>
      <c r="C80" s="673">
        <f>Weather_Site!C78</f>
        <v>0.95833333333333337</v>
      </c>
      <c r="D80" s="413">
        <f>Weather_Site!D78</f>
        <v>15.7</v>
      </c>
      <c r="E80" s="413">
        <f>Weather_Site!E78</f>
        <v>71.7</v>
      </c>
      <c r="F80" s="674">
        <f>Weather_Site!F78</f>
        <v>78</v>
      </c>
      <c r="G80" s="413">
        <f>Weather_Site!G78</f>
        <v>7</v>
      </c>
      <c r="H80" s="548">
        <f>C$4</f>
        <v>0</v>
      </c>
      <c r="I80" s="413">
        <f t="shared" si="20"/>
        <v>2.3333333333333335</v>
      </c>
      <c r="J80" s="413">
        <f>IF(Weather_Site!M78&lt;180,Weather_Site!M78+180,Weather_Site!M78-180)</f>
        <v>258</v>
      </c>
      <c r="K80" s="711">
        <f t="shared" si="21"/>
        <v>11.35721</v>
      </c>
      <c r="L80" s="711">
        <f t="shared" si="22"/>
        <v>15.010800000000001</v>
      </c>
      <c r="M80" s="711">
        <f t="shared" si="23"/>
        <v>16.51829</v>
      </c>
      <c r="N80" s="711">
        <f t="shared" si="24"/>
        <v>16.51829</v>
      </c>
      <c r="O80" s="713">
        <f t="shared" si="25"/>
        <v>0.19592698705672085</v>
      </c>
      <c r="P80" s="711">
        <f>IF($O$11,Weather_Site!H78,IF(0.191*(Weather_Site!K78+104)*(Weather_Site!J78+1)^1.5/(3.52*(Weather_Site!J78+1)^1.5+Weather_Site!I78-1)&gt;10, 10,0.191*(Weather_Site!K78+104)*(Weather_Site!J78+1)^1.5/(3.52*(Weather_Site!J78+1)^1.5+Weather_Site!I78-1)))</f>
        <v>9.9</v>
      </c>
      <c r="Q80" s="713">
        <f t="shared" si="26"/>
        <v>0.99756273521210204</v>
      </c>
      <c r="R80" s="713">
        <f t="shared" si="27"/>
        <v>0.19544946111016856</v>
      </c>
      <c r="S80" s="711">
        <f t="shared" si="28"/>
        <v>1</v>
      </c>
      <c r="T80" s="716">
        <f t="shared" si="29"/>
        <v>23.587354919680802</v>
      </c>
      <c r="U80" s="716">
        <f t="shared" si="30"/>
        <v>58.684729277271238</v>
      </c>
      <c r="V80" s="716">
        <f t="shared" si="31"/>
        <v>103.92010011646762</v>
      </c>
      <c r="W80" s="713">
        <f t="shared" si="32"/>
        <v>1</v>
      </c>
      <c r="X80" s="713">
        <f t="shared" si="33"/>
        <v>0</v>
      </c>
      <c r="Y80" s="716">
        <f t="shared" si="34"/>
        <v>58.684729277271238</v>
      </c>
      <c r="Z80" s="711">
        <f t="shared" si="35"/>
        <v>0.74393194210187286</v>
      </c>
      <c r="AA80" s="716">
        <f t="shared" si="36"/>
        <v>23.078782946858283</v>
      </c>
      <c r="AB80" s="716">
        <f t="shared" si="37"/>
        <v>697.37019957824009</v>
      </c>
    </row>
    <row r="81" spans="1:28" x14ac:dyDescent="0.25">
      <c r="A81" s="675" t="str">
        <f>Weather_Site!A79</f>
        <v>Thu</v>
      </c>
      <c r="B81" s="672">
        <f>Weather_Site!B79</f>
        <v>41284</v>
      </c>
      <c r="C81" s="673">
        <f>Weather_Site!C79</f>
        <v>0</v>
      </c>
      <c r="D81" s="413">
        <f>Weather_Site!D79</f>
        <v>15.6</v>
      </c>
      <c r="E81" s="413">
        <f>Weather_Site!E79</f>
        <v>73.099999999999994</v>
      </c>
      <c r="F81" s="674">
        <f>Weather_Site!F79</f>
        <v>64</v>
      </c>
      <c r="G81" s="413">
        <f>Weather_Site!G79</f>
        <v>7</v>
      </c>
      <c r="H81" s="548">
        <f>C$4</f>
        <v>0</v>
      </c>
      <c r="I81" s="413">
        <f t="shared" si="20"/>
        <v>2.3333333333333335</v>
      </c>
      <c r="J81" s="413">
        <f>IF(Weather_Site!M79&lt;180,Weather_Site!M79+180,Weather_Site!M79-180)</f>
        <v>244</v>
      </c>
      <c r="K81" s="711">
        <f t="shared" si="21"/>
        <v>11.532679999999999</v>
      </c>
      <c r="L81" s="711">
        <f t="shared" si="22"/>
        <v>15.251899999999999</v>
      </c>
      <c r="M81" s="711">
        <f t="shared" si="23"/>
        <v>16.800319999999999</v>
      </c>
      <c r="N81" s="711">
        <f t="shared" si="24"/>
        <v>16.800319999999999</v>
      </c>
      <c r="O81" s="713">
        <f t="shared" si="25"/>
        <v>0.19235397190159187</v>
      </c>
      <c r="P81" s="711">
        <f>IF($O$11,Weather_Site!H79,IF(0.191*(Weather_Site!K79+104)*(Weather_Site!J79+1)^1.5/(3.52*(Weather_Site!J79+1)^1.5+Weather_Site!I79-1)&gt;10, 10,0.191*(Weather_Site!K79+104)*(Weather_Site!J79+1)^1.5/(3.52*(Weather_Site!J79+1)^1.5+Weather_Site!I79-1)))</f>
        <v>9.9</v>
      </c>
      <c r="Q81" s="713">
        <f t="shared" si="26"/>
        <v>0.99756273521210204</v>
      </c>
      <c r="R81" s="713">
        <f t="shared" si="27"/>
        <v>0.19188515433906381</v>
      </c>
      <c r="S81" s="711">
        <f t="shared" si="28"/>
        <v>1</v>
      </c>
      <c r="T81" s="716">
        <f t="shared" si="29"/>
        <v>23.157205005860984</v>
      </c>
      <c r="U81" s="716">
        <f t="shared" si="30"/>
        <v>57.614527411605692</v>
      </c>
      <c r="V81" s="716">
        <f t="shared" si="31"/>
        <v>102.02496510614276</v>
      </c>
      <c r="W81" s="713">
        <f t="shared" si="32"/>
        <v>1</v>
      </c>
      <c r="X81" s="713">
        <f t="shared" si="33"/>
        <v>0</v>
      </c>
      <c r="Y81" s="716">
        <f t="shared" si="34"/>
        <v>57.614527411605692</v>
      </c>
      <c r="Z81" s="711">
        <f t="shared" si="35"/>
        <v>0.73409825872124923</v>
      </c>
      <c r="AA81" s="716">
        <f t="shared" si="36"/>
        <v>22.657907586756998</v>
      </c>
      <c r="AB81" s="716">
        <f t="shared" si="37"/>
        <v>684.6526340745811</v>
      </c>
    </row>
    <row r="82" spans="1:28" x14ac:dyDescent="0.25">
      <c r="A82" s="675" t="str">
        <f>Weather_Site!A80</f>
        <v>Thu</v>
      </c>
      <c r="B82" s="672">
        <f>Weather_Site!B80</f>
        <v>41284</v>
      </c>
      <c r="C82" s="673">
        <f>Weather_Site!C80</f>
        <v>4.1666666666666664E-2</v>
      </c>
      <c r="D82" s="413">
        <f>Weather_Site!D80</f>
        <v>15.3</v>
      </c>
      <c r="E82" s="413">
        <f>Weather_Site!E80</f>
        <v>75.5</v>
      </c>
      <c r="F82" s="674">
        <f>Weather_Site!F80</f>
        <v>48</v>
      </c>
      <c r="G82" s="413">
        <f>Weather_Site!G80</f>
        <v>6</v>
      </c>
      <c r="H82" s="548">
        <f>C$4</f>
        <v>0</v>
      </c>
      <c r="I82" s="413">
        <f t="shared" si="20"/>
        <v>2</v>
      </c>
      <c r="J82" s="413">
        <f>IF(Weather_Site!M80&lt;180,Weather_Site!M80+180,Weather_Site!M80-180)</f>
        <v>228</v>
      </c>
      <c r="K82" s="711">
        <f t="shared" si="21"/>
        <v>11.835889999999999</v>
      </c>
      <c r="L82" s="711">
        <f t="shared" si="22"/>
        <v>15.671000000000001</v>
      </c>
      <c r="M82" s="711">
        <f t="shared" si="23"/>
        <v>17.290009999999999</v>
      </c>
      <c r="N82" s="711">
        <f t="shared" si="24"/>
        <v>17.290009999999999</v>
      </c>
      <c r="O82" s="713">
        <f t="shared" si="25"/>
        <v>0.18747803221517234</v>
      </c>
      <c r="P82" s="711">
        <f>IF($O$11,Weather_Site!H80,IF(0.191*(Weather_Site!K80+104)*(Weather_Site!J80+1)^1.5/(3.52*(Weather_Site!J80+1)^1.5+Weather_Site!I80-1)&gt;10, 10,0.191*(Weather_Site!K80+104)*(Weather_Site!J80+1)^1.5/(3.52*(Weather_Site!J80+1)^1.5+Weather_Site!I80-1)))</f>
        <v>9.9</v>
      </c>
      <c r="Q82" s="713">
        <f t="shared" si="26"/>
        <v>0.99756273521210204</v>
      </c>
      <c r="R82" s="713">
        <f t="shared" si="27"/>
        <v>0.18702109860874991</v>
      </c>
      <c r="S82" s="711">
        <f t="shared" si="28"/>
        <v>1</v>
      </c>
      <c r="T82" s="716">
        <f t="shared" si="29"/>
        <v>5.6106329582624968</v>
      </c>
      <c r="U82" s="716">
        <f t="shared" si="30"/>
        <v>5.6106329582624976</v>
      </c>
      <c r="V82" s="716">
        <f t="shared" si="31"/>
        <v>82.756728001923918</v>
      </c>
      <c r="W82" s="713">
        <f t="shared" si="32"/>
        <v>1</v>
      </c>
      <c r="X82" s="713">
        <f t="shared" si="33"/>
        <v>0</v>
      </c>
      <c r="Y82" s="716">
        <f t="shared" si="34"/>
        <v>5.6106329582624976</v>
      </c>
      <c r="Z82" s="711">
        <f t="shared" si="35"/>
        <v>0.13627780468033887</v>
      </c>
      <c r="AA82" s="716">
        <f t="shared" si="36"/>
        <v>2.4158770919146133</v>
      </c>
      <c r="AB82" s="716">
        <f t="shared" si="37"/>
        <v>66.673021654019351</v>
      </c>
    </row>
    <row r="83" spans="1:28" x14ac:dyDescent="0.25">
      <c r="A83" s="675" t="str">
        <f>Weather_Site!A81</f>
        <v>Thu</v>
      </c>
      <c r="B83" s="672">
        <f>Weather_Site!B81</f>
        <v>41284</v>
      </c>
      <c r="C83" s="673">
        <f>Weather_Site!C81</f>
        <v>8.3333333333333329E-2</v>
      </c>
      <c r="D83" s="413">
        <f>Weather_Site!D81</f>
        <v>15.2</v>
      </c>
      <c r="E83" s="413">
        <f>Weather_Site!E81</f>
        <v>77</v>
      </c>
      <c r="F83" s="674">
        <f>Weather_Site!F81</f>
        <v>33</v>
      </c>
      <c r="G83" s="413">
        <f>Weather_Site!G81</f>
        <v>6</v>
      </c>
      <c r="H83" s="548">
        <f>C$4</f>
        <v>0</v>
      </c>
      <c r="I83" s="413">
        <f t="shared" si="20"/>
        <v>2</v>
      </c>
      <c r="J83" s="413">
        <f>IF(Weather_Site!M81&lt;180,Weather_Site!M81+180,Weather_Site!M81-180)</f>
        <v>213</v>
      </c>
      <c r="K83" s="711">
        <f t="shared" si="21"/>
        <v>12.023759999999999</v>
      </c>
      <c r="L83" s="711">
        <f t="shared" si="22"/>
        <v>15.929000000000004</v>
      </c>
      <c r="M83" s="711">
        <f t="shared" si="23"/>
        <v>17.591840000000001</v>
      </c>
      <c r="N83" s="711">
        <f t="shared" si="24"/>
        <v>17.591840000000001</v>
      </c>
      <c r="O83" s="713">
        <f t="shared" si="25"/>
        <v>0.18518094027733722</v>
      </c>
      <c r="P83" s="711">
        <f>IF($O$11,Weather_Site!H81,IF(0.191*(Weather_Site!K81+104)*(Weather_Site!J81+1)^1.5/(3.52*(Weather_Site!J81+1)^1.5+Weather_Site!I81-1)&gt;10, 10,0.191*(Weather_Site!K81+104)*(Weather_Site!J81+1)^1.5/(3.52*(Weather_Site!J81+1)^1.5+Weather_Site!I81-1)))</f>
        <v>9.9</v>
      </c>
      <c r="Q83" s="713">
        <f t="shared" si="26"/>
        <v>0.99756273521210204</v>
      </c>
      <c r="R83" s="713">
        <f t="shared" si="27"/>
        <v>0.18472960529220944</v>
      </c>
      <c r="S83" s="711">
        <f t="shared" si="28"/>
        <v>1</v>
      </c>
      <c r="T83" s="716">
        <f t="shared" si="29"/>
        <v>5.5418881587662829</v>
      </c>
      <c r="U83" s="716">
        <f t="shared" si="30"/>
        <v>5.5418881587662829</v>
      </c>
      <c r="V83" s="716">
        <f t="shared" si="31"/>
        <v>81.742743534257585</v>
      </c>
      <c r="W83" s="713">
        <f t="shared" si="32"/>
        <v>1</v>
      </c>
      <c r="X83" s="713">
        <f t="shared" si="33"/>
        <v>0</v>
      </c>
      <c r="Y83" s="716">
        <f t="shared" si="34"/>
        <v>5.5418881587662829</v>
      </c>
      <c r="Z83" s="711">
        <f t="shared" si="35"/>
        <v>0.13506851137771472</v>
      </c>
      <c r="AA83" s="716">
        <f t="shared" si="36"/>
        <v>2.3862763342948172</v>
      </c>
      <c r="AB83" s="716">
        <f t="shared" si="37"/>
        <v>65.856104286672661</v>
      </c>
    </row>
    <row r="84" spans="1:28" x14ac:dyDescent="0.25">
      <c r="A84" s="23" t="str">
        <f>Weather_Site!A82</f>
        <v>Thu</v>
      </c>
      <c r="B84" s="24">
        <f>Weather_Site!B82</f>
        <v>41284</v>
      </c>
      <c r="C84" s="25">
        <f>Weather_Site!C82</f>
        <v>0.125</v>
      </c>
      <c r="D84" s="27">
        <f>Weather_Site!D82</f>
        <v>15</v>
      </c>
      <c r="E84" s="27">
        <f>Weather_Site!E82</f>
        <v>76.5</v>
      </c>
      <c r="F84" s="28">
        <f>Weather_Site!F82</f>
        <v>24</v>
      </c>
      <c r="G84" s="27">
        <f>Weather_Site!G82</f>
        <v>6</v>
      </c>
      <c r="H84" s="548">
        <f>C$4</f>
        <v>0</v>
      </c>
      <c r="I84" s="27">
        <f t="shared" si="20"/>
        <v>2</v>
      </c>
      <c r="J84" s="738">
        <f>IF(Weather_Site!M82&lt;180,Weather_Site!M82+180,Weather_Site!M82-180)</f>
        <v>204</v>
      </c>
      <c r="K84" s="635">
        <f t="shared" si="21"/>
        <v>11.9655</v>
      </c>
      <c r="L84" s="635">
        <f t="shared" si="22"/>
        <v>15.8535</v>
      </c>
      <c r="M84" s="635">
        <f t="shared" si="23"/>
        <v>17.502500000000001</v>
      </c>
      <c r="N84" s="635">
        <f t="shared" si="24"/>
        <v>17.502500000000001</v>
      </c>
      <c r="O84" s="636">
        <f t="shared" si="25"/>
        <v>0.18581185790587496</v>
      </c>
      <c r="P84" s="635">
        <f>IF($O$11,Weather_Site!H82,IF(0.191*(Weather_Site!K82+104)*(Weather_Site!J82+1)^1.5/(3.52*(Weather_Site!J82+1)^1.5+Weather_Site!I82-1)&gt;10, 10,0.191*(Weather_Site!K82+104)*(Weather_Site!J82+1)^1.5/(3.52*(Weather_Site!J82+1)^1.5+Weather_Site!I82-1)))</f>
        <v>9.9</v>
      </c>
      <c r="Q84" s="636">
        <f t="shared" si="26"/>
        <v>0.99756273521210204</v>
      </c>
      <c r="R84" s="636">
        <f t="shared" si="27"/>
        <v>0.18535898520742708</v>
      </c>
      <c r="S84" s="635">
        <f t="shared" si="28"/>
        <v>1</v>
      </c>
      <c r="T84" s="707">
        <f t="shared" si="29"/>
        <v>5.5607695562228114</v>
      </c>
      <c r="U84" s="707">
        <f t="shared" si="30"/>
        <v>5.5607695562228123</v>
      </c>
      <c r="V84" s="707">
        <f t="shared" si="31"/>
        <v>82.021243782844536</v>
      </c>
      <c r="W84" s="636">
        <f t="shared" si="32"/>
        <v>1</v>
      </c>
      <c r="X84" s="636">
        <f t="shared" si="33"/>
        <v>0</v>
      </c>
      <c r="Y84" s="707">
        <f t="shared" si="34"/>
        <v>5.5607695562228123</v>
      </c>
      <c r="Z84" s="635">
        <f t="shared" si="35"/>
        <v>0.13540106685416972</v>
      </c>
      <c r="AA84" s="707">
        <f t="shared" si="36"/>
        <v>2.3944064572092718</v>
      </c>
      <c r="AB84" s="707">
        <f t="shared" si="37"/>
        <v>66.080478226447752</v>
      </c>
    </row>
    <row r="85" spans="1:28" x14ac:dyDescent="0.25">
      <c r="A85" s="23" t="str">
        <f>Weather_Site!A83</f>
        <v>Thu</v>
      </c>
      <c r="B85" s="24">
        <f>Weather_Site!B83</f>
        <v>41284</v>
      </c>
      <c r="C85" s="25">
        <f>Weather_Site!C83</f>
        <v>0.16666666666666666</v>
      </c>
      <c r="D85" s="27">
        <f>Weather_Site!D83</f>
        <v>14.9</v>
      </c>
      <c r="E85" s="27">
        <f>Weather_Site!E83</f>
        <v>75.5</v>
      </c>
      <c r="F85" s="28">
        <f>Weather_Site!F83</f>
        <v>14</v>
      </c>
      <c r="G85" s="27">
        <f>Weather_Site!G83</f>
        <v>6</v>
      </c>
      <c r="H85" s="548">
        <f>C$4</f>
        <v>0</v>
      </c>
      <c r="I85" s="27">
        <f t="shared" si="20"/>
        <v>2</v>
      </c>
      <c r="J85" s="738">
        <f>IF(Weather_Site!M83&lt;180,Weather_Site!M83+180,Weather_Site!M83-180)</f>
        <v>194</v>
      </c>
      <c r="K85" s="635">
        <f t="shared" si="21"/>
        <v>11.84337</v>
      </c>
      <c r="L85" s="635">
        <f t="shared" si="22"/>
        <v>15.689</v>
      </c>
      <c r="M85" s="635">
        <f t="shared" si="23"/>
        <v>17.309329999999999</v>
      </c>
      <c r="N85" s="635">
        <f t="shared" si="24"/>
        <v>17.309329999999999</v>
      </c>
      <c r="O85" s="636">
        <f t="shared" si="25"/>
        <v>0.18731631188932463</v>
      </c>
      <c r="P85" s="635">
        <f>IF($O$11,Weather_Site!H83,IF(0.191*(Weather_Site!K83+104)*(Weather_Site!J83+1)^1.5/(3.52*(Weather_Site!J83+1)^1.5+Weather_Site!I83-1)&gt;10, 10,0.191*(Weather_Site!K83+104)*(Weather_Site!J83+1)^1.5/(3.52*(Weather_Site!J83+1)^1.5+Weather_Site!I83-1)))</f>
        <v>9.9</v>
      </c>
      <c r="Q85" s="636">
        <f t="shared" si="26"/>
        <v>0.99756273521210204</v>
      </c>
      <c r="R85" s="636">
        <f t="shared" si="27"/>
        <v>0.18685977243815785</v>
      </c>
      <c r="S85" s="635">
        <f t="shared" si="28"/>
        <v>1</v>
      </c>
      <c r="T85" s="707">
        <f t="shared" si="29"/>
        <v>5.6057931731447352</v>
      </c>
      <c r="U85" s="707">
        <f t="shared" si="30"/>
        <v>5.6057931731447352</v>
      </c>
      <c r="V85" s="707">
        <f t="shared" si="31"/>
        <v>82.685341264713003</v>
      </c>
      <c r="W85" s="636">
        <f t="shared" si="32"/>
        <v>1</v>
      </c>
      <c r="X85" s="636">
        <f t="shared" si="33"/>
        <v>0</v>
      </c>
      <c r="Y85" s="707">
        <f t="shared" si="34"/>
        <v>5.6057931731447352</v>
      </c>
      <c r="Z85" s="635">
        <f t="shared" si="35"/>
        <v>0.13619280260110722</v>
      </c>
      <c r="AA85" s="707">
        <f t="shared" si="36"/>
        <v>2.4137931334588081</v>
      </c>
      <c r="AB85" s="707">
        <f t="shared" si="37"/>
        <v>66.615508874203272</v>
      </c>
    </row>
    <row r="86" spans="1:28" x14ac:dyDescent="0.25">
      <c r="A86" s="23" t="str">
        <f>Weather_Site!A84</f>
        <v>Thu</v>
      </c>
      <c r="B86" s="24">
        <f>Weather_Site!B84</f>
        <v>41284</v>
      </c>
      <c r="C86" s="25">
        <f>Weather_Site!C84</f>
        <v>0.20833333333333334</v>
      </c>
      <c r="D86" s="27">
        <f>Weather_Site!D84</f>
        <v>14.7</v>
      </c>
      <c r="E86" s="27">
        <f>Weather_Site!E84</f>
        <v>74.900000000000006</v>
      </c>
      <c r="F86" s="28">
        <f>Weather_Site!F84</f>
        <v>4</v>
      </c>
      <c r="G86" s="27">
        <f>Weather_Site!G84</f>
        <v>6</v>
      </c>
      <c r="H86" s="548">
        <f>C$4</f>
        <v>0</v>
      </c>
      <c r="I86" s="27">
        <f t="shared" si="20"/>
        <v>2</v>
      </c>
      <c r="J86" s="738">
        <f>IF(Weather_Site!M84&lt;180,Weather_Site!M84+180,Weather_Site!M84-180)</f>
        <v>184</v>
      </c>
      <c r="K86" s="635">
        <f t="shared" si="21"/>
        <v>11.772710000000002</v>
      </c>
      <c r="L86" s="635">
        <f t="shared" si="22"/>
        <v>15.596600000000002</v>
      </c>
      <c r="M86" s="635">
        <f t="shared" si="23"/>
        <v>17.200190000000003</v>
      </c>
      <c r="N86" s="635">
        <f t="shared" si="24"/>
        <v>17.200190000000003</v>
      </c>
      <c r="O86" s="636">
        <f t="shared" si="25"/>
        <v>0.18825837742916685</v>
      </c>
      <c r="P86" s="635">
        <f>IF($O$11,Weather_Site!H84,IF(0.191*(Weather_Site!K84+104)*(Weather_Site!J84+1)^1.5/(3.52*(Weather_Site!J84+1)^1.5+Weather_Site!I84-1)&gt;10, 10,0.191*(Weather_Site!K84+104)*(Weather_Site!J84+1)^1.5/(3.52*(Weather_Site!J84+1)^1.5+Weather_Site!I84-1)))</f>
        <v>9.9</v>
      </c>
      <c r="Q86" s="636">
        <f t="shared" si="26"/>
        <v>0.99756273521210204</v>
      </c>
      <c r="R86" s="636">
        <f t="shared" si="27"/>
        <v>0.18779954191483192</v>
      </c>
      <c r="S86" s="635">
        <f t="shared" si="28"/>
        <v>1</v>
      </c>
      <c r="T86" s="707">
        <f t="shared" si="29"/>
        <v>5.6339862574449571</v>
      </c>
      <c r="U86" s="707">
        <f t="shared" si="30"/>
        <v>5.633986257444958</v>
      </c>
      <c r="V86" s="707">
        <f t="shared" si="31"/>
        <v>83.10118871478241</v>
      </c>
      <c r="W86" s="636">
        <f t="shared" si="32"/>
        <v>1</v>
      </c>
      <c r="X86" s="636">
        <f t="shared" si="33"/>
        <v>0</v>
      </c>
      <c r="Y86" s="707">
        <f t="shared" si="34"/>
        <v>5.633986257444958</v>
      </c>
      <c r="Z86" s="635">
        <f t="shared" si="35"/>
        <v>0.13668767815944691</v>
      </c>
      <c r="AA86" s="707">
        <f t="shared" si="36"/>
        <v>2.4259327667262136</v>
      </c>
      <c r="AB86" s="707">
        <f t="shared" si="37"/>
        <v>66.950536692637584</v>
      </c>
    </row>
    <row r="87" spans="1:28" x14ac:dyDescent="0.25">
      <c r="A87" s="23" t="str">
        <f>Weather_Site!A85</f>
        <v>Thu</v>
      </c>
      <c r="B87" s="24">
        <f>Weather_Site!B85</f>
        <v>41284</v>
      </c>
      <c r="C87" s="25">
        <f>Weather_Site!C85</f>
        <v>0.25</v>
      </c>
      <c r="D87" s="27">
        <f>Weather_Site!D85</f>
        <v>15.7</v>
      </c>
      <c r="E87" s="27">
        <f>Weather_Site!E85</f>
        <v>70.3</v>
      </c>
      <c r="F87" s="28">
        <f>Weather_Site!F85</f>
        <v>21</v>
      </c>
      <c r="G87" s="27">
        <f>Weather_Site!G85</f>
        <v>8</v>
      </c>
      <c r="H87" s="548">
        <f>C$4</f>
        <v>0</v>
      </c>
      <c r="I87" s="27">
        <f t="shared" si="20"/>
        <v>2.6666666666666665</v>
      </c>
      <c r="J87" s="738">
        <f>IF(Weather_Site!M85&lt;180,Weather_Site!M85+180,Weather_Site!M85-180)</f>
        <v>201</v>
      </c>
      <c r="K87" s="635">
        <f t="shared" si="21"/>
        <v>11.18361</v>
      </c>
      <c r="L87" s="635">
        <f t="shared" si="22"/>
        <v>14.7742</v>
      </c>
      <c r="M87" s="635">
        <f t="shared" si="23"/>
        <v>16.24109</v>
      </c>
      <c r="N87" s="635">
        <f t="shared" si="24"/>
        <v>16.24109</v>
      </c>
      <c r="O87" s="636">
        <f t="shared" si="25"/>
        <v>0.20005908386768612</v>
      </c>
      <c r="P87" s="635">
        <f>IF($O$11,Weather_Site!H85,IF(0.191*(Weather_Site!K85+104)*(Weather_Site!J85+1)^1.5/(3.52*(Weather_Site!J85+1)^1.5+Weather_Site!I85-1)&gt;10, 10,0.191*(Weather_Site!K85+104)*(Weather_Site!J85+1)^1.5/(3.52*(Weather_Site!J85+1)^1.5+Weather_Site!I85-1)))</f>
        <v>9.9</v>
      </c>
      <c r="Q87" s="636">
        <f t="shared" si="26"/>
        <v>0.99756273521210204</v>
      </c>
      <c r="R87" s="636">
        <f t="shared" si="27"/>
        <v>0.19957148690707627</v>
      </c>
      <c r="S87" s="635">
        <f t="shared" si="28"/>
        <v>1</v>
      </c>
      <c r="T87" s="707">
        <f t="shared" si="29"/>
        <v>28.240136264357066</v>
      </c>
      <c r="U87" s="707">
        <f t="shared" si="30"/>
        <v>72.04548176196927</v>
      </c>
      <c r="V87" s="707">
        <f t="shared" si="31"/>
        <v>124.4079743338781</v>
      </c>
      <c r="W87" s="636">
        <f t="shared" si="32"/>
        <v>1</v>
      </c>
      <c r="X87" s="636">
        <f t="shared" si="33"/>
        <v>0</v>
      </c>
      <c r="Y87" s="707">
        <f t="shared" si="34"/>
        <v>72.04548176196927</v>
      </c>
      <c r="Z87" s="635">
        <f t="shared" si="35"/>
        <v>0.86285781162592878</v>
      </c>
      <c r="AA87" s="707">
        <f t="shared" si="36"/>
        <v>26.073205617388993</v>
      </c>
      <c r="AB87" s="707">
        <f t="shared" si="37"/>
        <v>856.14047493806811</v>
      </c>
    </row>
    <row r="88" spans="1:28" x14ac:dyDescent="0.25">
      <c r="A88" s="23" t="str">
        <f>Weather_Site!A86</f>
        <v>Thu</v>
      </c>
      <c r="B88" s="24">
        <f>Weather_Site!B86</f>
        <v>41284</v>
      </c>
      <c r="C88" s="25">
        <f>Weather_Site!C86</f>
        <v>0.29166666666666669</v>
      </c>
      <c r="D88" s="27">
        <f>Weather_Site!D86</f>
        <v>16.8</v>
      </c>
      <c r="E88" s="27">
        <f>Weather_Site!E86</f>
        <v>65.099999999999994</v>
      </c>
      <c r="F88" s="28">
        <f>Weather_Site!F86</f>
        <v>32</v>
      </c>
      <c r="G88" s="27">
        <f>Weather_Site!G86</f>
        <v>10</v>
      </c>
      <c r="H88" s="548">
        <f>C$4</f>
        <v>0</v>
      </c>
      <c r="I88" s="27">
        <f t="shared" si="20"/>
        <v>3.3333333333333335</v>
      </c>
      <c r="J88" s="738">
        <f>IF(Weather_Site!M86&lt;180,Weather_Site!M86+180,Weather_Site!M86-180)</f>
        <v>212</v>
      </c>
      <c r="K88" s="635">
        <f t="shared" si="21"/>
        <v>10.51824</v>
      </c>
      <c r="L88" s="635">
        <f t="shared" si="22"/>
        <v>13.845899999999999</v>
      </c>
      <c r="M88" s="635">
        <f t="shared" si="23"/>
        <v>15.15836</v>
      </c>
      <c r="N88" s="635">
        <f t="shared" si="24"/>
        <v>15.15836</v>
      </c>
      <c r="O88" s="636">
        <f t="shared" si="25"/>
        <v>0.22303525919833489</v>
      </c>
      <c r="P88" s="635">
        <f>IF($O$11,Weather_Site!H86,IF(0.191*(Weather_Site!K86+104)*(Weather_Site!J86+1)^1.5/(3.52*(Weather_Site!J86+1)^1.5+Weather_Site!I86-1)&gt;10, 10,0.191*(Weather_Site!K86+104)*(Weather_Site!J86+1)^1.5/(3.52*(Weather_Site!J86+1)^1.5+Weather_Site!I86-1)))</f>
        <v>9.9</v>
      </c>
      <c r="Q88" s="636">
        <f t="shared" si="26"/>
        <v>0.99756273521210204</v>
      </c>
      <c r="R88" s="636">
        <f t="shared" si="27"/>
        <v>0.2224916632146311</v>
      </c>
      <c r="S88" s="635">
        <f t="shared" si="28"/>
        <v>1</v>
      </c>
      <c r="T88" s="707">
        <f t="shared" si="29"/>
        <v>40.555977029499275</v>
      </c>
      <c r="U88" s="707">
        <f t="shared" si="30"/>
        <v>106.04213355224674</v>
      </c>
      <c r="V88" s="707">
        <f t="shared" si="31"/>
        <v>180.92993558737351</v>
      </c>
      <c r="W88" s="636">
        <f t="shared" si="32"/>
        <v>1</v>
      </c>
      <c r="X88" s="636">
        <f t="shared" si="33"/>
        <v>0</v>
      </c>
      <c r="Y88" s="707">
        <f t="shared" si="34"/>
        <v>106.04213355224674</v>
      </c>
      <c r="Z88" s="635">
        <f t="shared" si="35"/>
        <v>1.1410652500540566</v>
      </c>
      <c r="AA88" s="707">
        <f t="shared" si="36"/>
        <v>33.096795740401603</v>
      </c>
      <c r="AB88" s="707">
        <f t="shared" si="37"/>
        <v>1260.1340203791988</v>
      </c>
    </row>
    <row r="89" spans="1:28" x14ac:dyDescent="0.25">
      <c r="A89" s="675" t="str">
        <f>Weather_Site!A87</f>
        <v>Thu</v>
      </c>
      <c r="B89" s="672">
        <f>Weather_Site!B87</f>
        <v>41284</v>
      </c>
      <c r="C89" s="673">
        <f>Weather_Site!C87</f>
        <v>0.33333333333333331</v>
      </c>
      <c r="D89" s="413">
        <f>Weather_Site!D87</f>
        <v>17.8</v>
      </c>
      <c r="E89" s="413">
        <f>Weather_Site!E87</f>
        <v>61.1</v>
      </c>
      <c r="F89" s="674">
        <f>Weather_Site!F87</f>
        <v>38</v>
      </c>
      <c r="G89" s="413">
        <f>Weather_Site!G87</f>
        <v>12</v>
      </c>
      <c r="H89" s="548">
        <f>C$4</f>
        <v>0</v>
      </c>
      <c r="I89" s="413">
        <f t="shared" si="20"/>
        <v>4</v>
      </c>
      <c r="J89" s="413">
        <f>IF(Weather_Site!M87&lt;180,Weather_Site!M87+180,Weather_Site!M87-180)</f>
        <v>218</v>
      </c>
      <c r="K89" s="711">
        <f t="shared" si="21"/>
        <v>10.003540000000001</v>
      </c>
      <c r="L89" s="711">
        <f t="shared" si="22"/>
        <v>13.1249</v>
      </c>
      <c r="M89" s="711">
        <f t="shared" si="23"/>
        <v>14.318060000000001</v>
      </c>
      <c r="N89" s="711">
        <f t="shared" si="24"/>
        <v>13.1249</v>
      </c>
      <c r="O89" s="713">
        <f t="shared" si="25"/>
        <v>0.30126972152502773</v>
      </c>
      <c r="P89" s="711">
        <f>IF($O$11,Weather_Site!H87,IF(0.191*(Weather_Site!K87+104)*(Weather_Site!J87+1)^1.5/(3.52*(Weather_Site!J87+1)^1.5+Weather_Site!I87-1)&gt;10, 10,0.191*(Weather_Site!K87+104)*(Weather_Site!J87+1)^1.5/(3.52*(Weather_Site!J87+1)^1.5+Weather_Site!I87-1)))</f>
        <v>9.9</v>
      </c>
      <c r="Q89" s="713">
        <f t="shared" si="26"/>
        <v>0.99756273521210204</v>
      </c>
      <c r="R89" s="713">
        <f t="shared" si="27"/>
        <v>0.30053544744109495</v>
      </c>
      <c r="S89" s="711">
        <f t="shared" si="28"/>
        <v>1</v>
      </c>
      <c r="T89" s="716">
        <f t="shared" si="29"/>
        <v>66.777692249445806</v>
      </c>
      <c r="U89" s="716">
        <f t="shared" si="30"/>
        <v>176.27061301161083</v>
      </c>
      <c r="V89" s="716">
        <f t="shared" si="31"/>
        <v>303.68226097436531</v>
      </c>
      <c r="W89" s="713">
        <f t="shared" si="32"/>
        <v>1</v>
      </c>
      <c r="X89" s="713">
        <f t="shared" si="33"/>
        <v>0</v>
      </c>
      <c r="Y89" s="716">
        <f t="shared" si="34"/>
        <v>176.27061301161083</v>
      </c>
      <c r="Z89" s="711">
        <f t="shared" si="35"/>
        <v>1.647698072069703</v>
      </c>
      <c r="AA89" s="716">
        <f t="shared" si="36"/>
        <v>48.362218231894978</v>
      </c>
      <c r="AB89" s="716">
        <f t="shared" si="37"/>
        <v>2094.6824512879757</v>
      </c>
    </row>
    <row r="90" spans="1:28" x14ac:dyDescent="0.25">
      <c r="A90" s="675" t="str">
        <f>Weather_Site!A88</f>
        <v>Thu</v>
      </c>
      <c r="B90" s="672">
        <f>Weather_Site!B88</f>
        <v>41284</v>
      </c>
      <c r="C90" s="673">
        <f>Weather_Site!C88</f>
        <v>0.375</v>
      </c>
      <c r="D90" s="413">
        <f>Weather_Site!D88</f>
        <v>18.399999999999999</v>
      </c>
      <c r="E90" s="413">
        <f>Weather_Site!E88</f>
        <v>58.5</v>
      </c>
      <c r="F90" s="674">
        <f>Weather_Site!F88</f>
        <v>41</v>
      </c>
      <c r="G90" s="413">
        <f>Weather_Site!G88</f>
        <v>12</v>
      </c>
      <c r="H90" s="548">
        <f>C$4</f>
        <v>0</v>
      </c>
      <c r="I90" s="413">
        <f t="shared" si="20"/>
        <v>4</v>
      </c>
      <c r="J90" s="413">
        <f>IF(Weather_Site!M88&lt;180,Weather_Site!M88+180,Weather_Site!M88-180)</f>
        <v>221</v>
      </c>
      <c r="K90" s="711">
        <f t="shared" si="21"/>
        <v>9.6699199999999994</v>
      </c>
      <c r="L90" s="711">
        <f t="shared" si="22"/>
        <v>12.6585</v>
      </c>
      <c r="M90" s="711">
        <f t="shared" si="23"/>
        <v>13.774280000000001</v>
      </c>
      <c r="N90" s="711">
        <f t="shared" si="24"/>
        <v>12.6585</v>
      </c>
      <c r="O90" s="713">
        <f t="shared" si="25"/>
        <v>0.32621011414541135</v>
      </c>
      <c r="P90" s="711">
        <f>IF($O$11,Weather_Site!H88,IF(0.191*(Weather_Site!K88+104)*(Weather_Site!J88+1)^1.5/(3.52*(Weather_Site!J88+1)^1.5+Weather_Site!I88-1)&gt;10, 10,0.191*(Weather_Site!K88+104)*(Weather_Site!J88+1)^1.5/(3.52*(Weather_Site!J88+1)^1.5+Weather_Site!I88-1)))</f>
        <v>9.9</v>
      </c>
      <c r="Q90" s="713">
        <f t="shared" si="26"/>
        <v>0.99756273521210204</v>
      </c>
      <c r="R90" s="713">
        <f t="shared" si="27"/>
        <v>0.32541505372074858</v>
      </c>
      <c r="S90" s="711">
        <f t="shared" si="28"/>
        <v>1</v>
      </c>
      <c r="T90" s="716">
        <f t="shared" si="29"/>
        <v>72.305834455551874</v>
      </c>
      <c r="U90" s="716">
        <f t="shared" si="30"/>
        <v>190.86304624284102</v>
      </c>
      <c r="V90" s="716">
        <f t="shared" si="31"/>
        <v>328.82237390110453</v>
      </c>
      <c r="W90" s="713">
        <f t="shared" si="32"/>
        <v>1</v>
      </c>
      <c r="X90" s="713">
        <f t="shared" si="33"/>
        <v>0</v>
      </c>
      <c r="Y90" s="716">
        <f t="shared" si="34"/>
        <v>190.86304624284102</v>
      </c>
      <c r="Z90" s="711">
        <f t="shared" si="35"/>
        <v>1.7452251120106934</v>
      </c>
      <c r="AA90" s="716">
        <f t="shared" si="36"/>
        <v>52.365848947223718</v>
      </c>
      <c r="AB90" s="716">
        <f t="shared" si="37"/>
        <v>2268.0891995190941</v>
      </c>
    </row>
    <row r="91" spans="1:28" x14ac:dyDescent="0.25">
      <c r="A91" s="675" t="str">
        <f>Weather_Site!A89</f>
        <v>Thu</v>
      </c>
      <c r="B91" s="672">
        <f>Weather_Site!B89</f>
        <v>41284</v>
      </c>
      <c r="C91" s="673">
        <f>Weather_Site!C89</f>
        <v>0.41666666666666669</v>
      </c>
      <c r="D91" s="413">
        <f>Weather_Site!D89</f>
        <v>19.7</v>
      </c>
      <c r="E91" s="413">
        <f>Weather_Site!E89</f>
        <v>53.6</v>
      </c>
      <c r="F91" s="674">
        <f>Weather_Site!F89</f>
        <v>44</v>
      </c>
      <c r="G91" s="413">
        <f>Weather_Site!G89</f>
        <v>12</v>
      </c>
      <c r="H91" s="548">
        <f>C$4</f>
        <v>0</v>
      </c>
      <c r="I91" s="413">
        <f t="shared" si="20"/>
        <v>4</v>
      </c>
      <c r="J91" s="413">
        <f>IF(Weather_Site!M89&lt;180,Weather_Site!M89+180,Weather_Site!M89-180)</f>
        <v>224</v>
      </c>
      <c r="K91" s="711">
        <f t="shared" si="21"/>
        <v>9.0380099999999999</v>
      </c>
      <c r="L91" s="711">
        <f t="shared" si="22"/>
        <v>11.7719</v>
      </c>
      <c r="M91" s="711">
        <f t="shared" si="23"/>
        <v>12.741289999999999</v>
      </c>
      <c r="N91" s="711">
        <f t="shared" si="24"/>
        <v>11.7719</v>
      </c>
      <c r="O91" s="713">
        <f t="shared" si="25"/>
        <v>0.38071528723836745</v>
      </c>
      <c r="P91" s="711">
        <f>IF($O$11,Weather_Site!H89,IF(0.191*(Weather_Site!K89+104)*(Weather_Site!J89+1)^1.5/(3.52*(Weather_Site!J89+1)^1.5+Weather_Site!I89-1)&gt;10, 10,0.191*(Weather_Site!K89+104)*(Weather_Site!J89+1)^1.5/(3.52*(Weather_Site!J89+1)^1.5+Weather_Site!I89-1)))</f>
        <v>9.9</v>
      </c>
      <c r="Q91" s="713">
        <f t="shared" si="26"/>
        <v>0.99756273521210204</v>
      </c>
      <c r="R91" s="713">
        <f t="shared" si="27"/>
        <v>0.3797873832745669</v>
      </c>
      <c r="S91" s="711">
        <f t="shared" si="28"/>
        <v>1</v>
      </c>
      <c r="T91" s="716">
        <f t="shared" si="29"/>
        <v>84.387133752341072</v>
      </c>
      <c r="U91" s="716">
        <f t="shared" si="30"/>
        <v>222.75360671724027</v>
      </c>
      <c r="V91" s="716">
        <f t="shared" si="31"/>
        <v>383.76401926752408</v>
      </c>
      <c r="W91" s="713">
        <f t="shared" si="32"/>
        <v>1</v>
      </c>
      <c r="X91" s="713">
        <f t="shared" si="33"/>
        <v>0</v>
      </c>
      <c r="Y91" s="716">
        <f t="shared" si="34"/>
        <v>222.75360671724027</v>
      </c>
      <c r="Z91" s="711">
        <f t="shared" si="35"/>
        <v>1.9514923155782973</v>
      </c>
      <c r="AA91" s="716">
        <f t="shared" si="36"/>
        <v>61.115453993975045</v>
      </c>
      <c r="AB91" s="716">
        <f t="shared" si="37"/>
        <v>2647.0553598232054</v>
      </c>
    </row>
    <row r="92" spans="1:28" x14ac:dyDescent="0.25">
      <c r="A92" s="675" t="str">
        <f>Weather_Site!A90</f>
        <v>Thu</v>
      </c>
      <c r="B92" s="672">
        <f>Weather_Site!B90</f>
        <v>41284</v>
      </c>
      <c r="C92" s="673">
        <f>Weather_Site!C90</f>
        <v>0.45833333333333331</v>
      </c>
      <c r="D92" s="413">
        <f>Weather_Site!D90</f>
        <v>20.9</v>
      </c>
      <c r="E92" s="413">
        <f>Weather_Site!E90</f>
        <v>49.4</v>
      </c>
      <c r="F92" s="674">
        <f>Weather_Site!F90</f>
        <v>47</v>
      </c>
      <c r="G92" s="413">
        <f>Weather_Site!G90</f>
        <v>12</v>
      </c>
      <c r="H92" s="548">
        <f>C$4</f>
        <v>0</v>
      </c>
      <c r="I92" s="413">
        <f t="shared" si="20"/>
        <v>4</v>
      </c>
      <c r="J92" s="413">
        <f>IF(Weather_Site!M90&lt;180,Weather_Site!M90+180,Weather_Site!M90-180)</f>
        <v>227</v>
      </c>
      <c r="K92" s="711">
        <f t="shared" si="21"/>
        <v>8.4947700000000008</v>
      </c>
      <c r="L92" s="711">
        <f t="shared" si="22"/>
        <v>11.008100000000001</v>
      </c>
      <c r="M92" s="711">
        <f t="shared" si="23"/>
        <v>11.85173</v>
      </c>
      <c r="N92" s="711">
        <f t="shared" si="24"/>
        <v>11.008100000000001</v>
      </c>
      <c r="O92" s="713">
        <f t="shared" si="25"/>
        <v>0.43467507383394222</v>
      </c>
      <c r="P92" s="711">
        <f>IF($O$11,Weather_Site!H90,IF(0.191*(Weather_Site!K90+104)*(Weather_Site!J90+1)^1.5/(3.52*(Weather_Site!J90+1)^1.5+Weather_Site!I90-1)&gt;10, 10,0.191*(Weather_Site!K90+104)*(Weather_Site!J90+1)^1.5/(3.52*(Weather_Site!J90+1)^1.5+Weather_Site!I90-1)))</f>
        <v>9.9</v>
      </c>
      <c r="Q92" s="713">
        <f t="shared" si="26"/>
        <v>0.99756273521210204</v>
      </c>
      <c r="R92" s="713">
        <f t="shared" si="27"/>
        <v>0.4336156555823098</v>
      </c>
      <c r="S92" s="711">
        <f t="shared" si="28"/>
        <v>1</v>
      </c>
      <c r="T92" s="716">
        <f t="shared" si="29"/>
        <v>96.347545853779948</v>
      </c>
      <c r="U92" s="716">
        <f t="shared" si="30"/>
        <v>254.32506571760155</v>
      </c>
      <c r="V92" s="716">
        <f t="shared" si="31"/>
        <v>438.15591073304955</v>
      </c>
      <c r="W92" s="713">
        <f t="shared" si="32"/>
        <v>1</v>
      </c>
      <c r="X92" s="713">
        <f t="shared" si="33"/>
        <v>0</v>
      </c>
      <c r="Y92" s="716">
        <f t="shared" si="34"/>
        <v>254.32506571760155</v>
      </c>
      <c r="Z92" s="711">
        <f t="shared" si="35"/>
        <v>2.147760850093634</v>
      </c>
      <c r="AA92" s="716">
        <f t="shared" si="36"/>
        <v>69.777509250878381</v>
      </c>
      <c r="AB92" s="716">
        <f t="shared" si="37"/>
        <v>3022.2295309441647</v>
      </c>
    </row>
    <row r="93" spans="1:28" x14ac:dyDescent="0.25">
      <c r="A93" s="675" t="str">
        <f>Weather_Site!A91</f>
        <v>Thu</v>
      </c>
      <c r="B93" s="672">
        <f>Weather_Site!B91</f>
        <v>41284</v>
      </c>
      <c r="C93" s="673">
        <f>Weather_Site!C91</f>
        <v>0.5</v>
      </c>
      <c r="D93" s="413">
        <f>Weather_Site!D91</f>
        <v>22.3</v>
      </c>
      <c r="E93" s="413">
        <f>Weather_Site!E91</f>
        <v>46.3</v>
      </c>
      <c r="F93" s="674">
        <f>Weather_Site!F91</f>
        <v>50</v>
      </c>
      <c r="G93" s="413">
        <f>Weather_Site!G91</f>
        <v>13</v>
      </c>
      <c r="H93" s="548">
        <f>C$4</f>
        <v>0</v>
      </c>
      <c r="I93" s="413">
        <f t="shared" si="20"/>
        <v>4.333333333333333</v>
      </c>
      <c r="J93" s="413">
        <f>IF(Weather_Site!M91&lt;180,Weather_Site!M91+180,Weather_Site!M91-180)</f>
        <v>230</v>
      </c>
      <c r="K93" s="711">
        <f t="shared" si="21"/>
        <v>8.0841899999999995</v>
      </c>
      <c r="L93" s="711">
        <f t="shared" si="22"/>
        <v>10.421199999999999</v>
      </c>
      <c r="M93" s="711">
        <f t="shared" si="23"/>
        <v>11.170310000000001</v>
      </c>
      <c r="N93" s="711">
        <f t="shared" si="24"/>
        <v>10.421199999999999</v>
      </c>
      <c r="O93" s="713">
        <f t="shared" si="25"/>
        <v>0.48007547191287397</v>
      </c>
      <c r="P93" s="711">
        <f>IF($O$11,Weather_Site!H91,IF(0.191*(Weather_Site!K91+104)*(Weather_Site!J91+1)^1.5/(3.52*(Weather_Site!J91+1)^1.5+Weather_Site!I91-1)&gt;10, 10,0.191*(Weather_Site!K91+104)*(Weather_Site!J91+1)^1.5/(3.52*(Weather_Site!J91+1)^1.5+Weather_Site!I91-1)))</f>
        <v>9.9</v>
      </c>
      <c r="Q93" s="713">
        <f t="shared" si="26"/>
        <v>0.99756273521210204</v>
      </c>
      <c r="R93" s="713">
        <f t="shared" si="27"/>
        <v>0.47890540086964722</v>
      </c>
      <c r="S93" s="711">
        <f t="shared" si="28"/>
        <v>1</v>
      </c>
      <c r="T93" s="716">
        <f t="shared" si="29"/>
        <v>115.84652008469901</v>
      </c>
      <c r="U93" s="716">
        <f t="shared" si="30"/>
        <v>306.41882910576373</v>
      </c>
      <c r="V93" s="716">
        <f t="shared" si="31"/>
        <v>532.33479953341407</v>
      </c>
      <c r="W93" s="713">
        <f t="shared" si="32"/>
        <v>1</v>
      </c>
      <c r="X93" s="713">
        <f t="shared" si="33"/>
        <v>1.6766736878534383E-7</v>
      </c>
      <c r="Y93" s="716">
        <f t="shared" si="34"/>
        <v>306.41886698450008</v>
      </c>
      <c r="Z93" s="711">
        <f t="shared" si="35"/>
        <v>2.4575120915432049</v>
      </c>
      <c r="AA93" s="716">
        <f t="shared" si="36"/>
        <v>79.276329034590731</v>
      </c>
      <c r="AB93" s="716">
        <f t="shared" si="37"/>
        <v>3641.2775359991429</v>
      </c>
    </row>
    <row r="94" spans="1:28" x14ac:dyDescent="0.25">
      <c r="A94" s="23"/>
      <c r="B94" s="24"/>
      <c r="C94" s="25"/>
      <c r="D94" s="27"/>
      <c r="E94" s="27"/>
      <c r="F94" s="28"/>
      <c r="G94" s="27"/>
      <c r="H94" s="548"/>
      <c r="I94" s="27"/>
      <c r="J94" s="738"/>
      <c r="K94" s="635"/>
      <c r="L94" s="635"/>
      <c r="M94" s="635"/>
      <c r="N94" s="635"/>
      <c r="O94" s="636"/>
      <c r="P94" s="635"/>
      <c r="Q94" s="636"/>
      <c r="R94" s="636"/>
      <c r="S94" s="635"/>
      <c r="T94" s="707"/>
      <c r="U94" s="707"/>
      <c r="V94" s="707"/>
      <c r="W94" s="636"/>
      <c r="X94" s="636"/>
      <c r="Y94" s="707"/>
      <c r="Z94" s="635"/>
      <c r="AA94" s="707"/>
      <c r="AB94" s="707"/>
    </row>
    <row r="95" spans="1:28" x14ac:dyDescent="0.25">
      <c r="A95" s="23"/>
      <c r="B95" s="24"/>
      <c r="C95" s="25"/>
      <c r="D95" s="27"/>
      <c r="E95" s="27"/>
      <c r="F95" s="28"/>
      <c r="G95" s="27"/>
      <c r="H95" s="548"/>
      <c r="I95" s="27"/>
      <c r="J95" s="738"/>
      <c r="K95" s="635"/>
      <c r="L95" s="635"/>
      <c r="M95" s="635"/>
      <c r="N95" s="635"/>
      <c r="O95" s="636"/>
      <c r="P95" s="635"/>
      <c r="Q95" s="636"/>
      <c r="R95" s="636"/>
      <c r="S95" s="635"/>
      <c r="T95" s="707"/>
      <c r="U95" s="707"/>
      <c r="V95" s="707"/>
      <c r="W95" s="636"/>
      <c r="X95" s="636"/>
      <c r="Y95" s="707"/>
      <c r="Z95" s="635"/>
      <c r="AA95" s="707"/>
      <c r="AB95" s="707"/>
    </row>
    <row r="96" spans="1:28" x14ac:dyDescent="0.25">
      <c r="A96" s="23"/>
      <c r="B96" s="24"/>
      <c r="C96" s="25"/>
      <c r="D96" s="27"/>
      <c r="E96" s="27"/>
      <c r="F96" s="28"/>
      <c r="G96" s="27"/>
      <c r="H96" s="548"/>
      <c r="I96" s="27"/>
      <c r="J96" s="738"/>
      <c r="K96" s="635"/>
      <c r="L96" s="635"/>
      <c r="M96" s="635"/>
      <c r="N96" s="635"/>
      <c r="O96" s="636"/>
      <c r="P96" s="635"/>
      <c r="Q96" s="636"/>
      <c r="R96" s="636"/>
      <c r="S96" s="635"/>
      <c r="T96" s="707"/>
      <c r="U96" s="707"/>
      <c r="V96" s="707"/>
      <c r="W96" s="636"/>
      <c r="X96" s="636"/>
      <c r="Y96" s="707"/>
      <c r="Z96" s="635"/>
      <c r="AA96" s="707"/>
      <c r="AB96" s="707"/>
    </row>
    <row r="97" spans="1:28" x14ac:dyDescent="0.25">
      <c r="A97" s="23"/>
      <c r="B97" s="24"/>
      <c r="C97" s="25"/>
      <c r="D97" s="27"/>
      <c r="E97" s="27"/>
      <c r="F97" s="28"/>
      <c r="G97" s="27"/>
      <c r="H97" s="548"/>
      <c r="I97" s="27"/>
      <c r="J97" s="738"/>
      <c r="K97" s="635"/>
      <c r="L97" s="635"/>
      <c r="M97" s="635"/>
      <c r="N97" s="635"/>
      <c r="O97" s="636"/>
      <c r="P97" s="635"/>
      <c r="Q97" s="636"/>
      <c r="R97" s="636"/>
      <c r="S97" s="635"/>
      <c r="T97" s="707"/>
      <c r="U97" s="707"/>
      <c r="V97" s="707"/>
      <c r="W97" s="636"/>
      <c r="X97" s="636"/>
      <c r="Y97" s="707"/>
      <c r="Z97" s="635"/>
      <c r="AA97" s="707"/>
      <c r="AB97" s="707"/>
    </row>
    <row r="98" spans="1:28" x14ac:dyDescent="0.25">
      <c r="A98" s="23"/>
      <c r="B98" s="24"/>
      <c r="C98" s="25"/>
      <c r="D98" s="27"/>
      <c r="E98" s="27"/>
      <c r="F98" s="28"/>
      <c r="G98" s="27"/>
      <c r="H98" s="548"/>
      <c r="I98" s="27"/>
      <c r="J98" s="738"/>
      <c r="K98" s="635"/>
      <c r="L98" s="635"/>
      <c r="M98" s="635"/>
      <c r="N98" s="635"/>
      <c r="O98" s="636"/>
      <c r="P98" s="635"/>
      <c r="Q98" s="636"/>
      <c r="R98" s="636"/>
      <c r="S98" s="635"/>
      <c r="T98" s="707"/>
      <c r="U98" s="707"/>
      <c r="V98" s="707"/>
      <c r="W98" s="636"/>
      <c r="X98" s="636"/>
      <c r="Y98" s="707"/>
      <c r="Z98" s="635"/>
      <c r="AA98" s="707"/>
      <c r="AB98" s="707"/>
    </row>
    <row r="99" spans="1:28" x14ac:dyDescent="0.25">
      <c r="A99" s="675"/>
      <c r="B99" s="672"/>
      <c r="C99" s="673"/>
      <c r="D99" s="413"/>
      <c r="E99" s="413"/>
      <c r="F99" s="674"/>
      <c r="G99" s="413"/>
      <c r="H99" s="548"/>
      <c r="I99" s="413"/>
      <c r="J99" s="413"/>
      <c r="K99" s="711"/>
      <c r="L99" s="711"/>
      <c r="M99" s="711"/>
      <c r="N99" s="711"/>
      <c r="O99" s="713"/>
      <c r="P99" s="711"/>
      <c r="Q99" s="713"/>
      <c r="R99" s="713"/>
      <c r="S99" s="711"/>
      <c r="T99" s="716"/>
      <c r="U99" s="716"/>
      <c r="V99" s="716"/>
      <c r="W99" s="713"/>
      <c r="X99" s="713"/>
      <c r="Y99" s="716"/>
      <c r="Z99" s="711"/>
      <c r="AA99" s="716"/>
      <c r="AB99" s="716"/>
    </row>
    <row r="100" spans="1:28" x14ac:dyDescent="0.25">
      <c r="A100" s="675"/>
      <c r="B100" s="672"/>
      <c r="C100" s="673"/>
      <c r="D100" s="413"/>
      <c r="E100" s="413"/>
      <c r="F100" s="674"/>
      <c r="G100" s="413"/>
      <c r="H100" s="548"/>
      <c r="I100" s="413"/>
      <c r="J100" s="413"/>
      <c r="K100" s="711"/>
      <c r="L100" s="711"/>
      <c r="M100" s="711"/>
      <c r="N100" s="711"/>
      <c r="O100" s="713"/>
      <c r="P100" s="711"/>
      <c r="Q100" s="713"/>
      <c r="R100" s="713"/>
      <c r="S100" s="711"/>
      <c r="T100" s="716"/>
      <c r="U100" s="716"/>
      <c r="V100" s="716"/>
      <c r="W100" s="713"/>
      <c r="X100" s="713"/>
      <c r="Y100" s="716"/>
      <c r="Z100" s="711"/>
      <c r="AA100" s="716"/>
      <c r="AB100" s="716"/>
    </row>
    <row r="101" spans="1:28" x14ac:dyDescent="0.25">
      <c r="A101" s="675"/>
      <c r="B101" s="672"/>
      <c r="C101" s="673"/>
      <c r="D101" s="413"/>
      <c r="E101" s="413"/>
      <c r="F101" s="674"/>
      <c r="G101" s="413"/>
      <c r="H101" s="548"/>
      <c r="I101" s="413"/>
      <c r="J101" s="413"/>
      <c r="K101" s="711"/>
      <c r="L101" s="711"/>
      <c r="M101" s="711"/>
      <c r="N101" s="711"/>
      <c r="O101" s="713"/>
      <c r="P101" s="711"/>
      <c r="Q101" s="713"/>
      <c r="R101" s="713"/>
      <c r="S101" s="711"/>
      <c r="T101" s="716"/>
      <c r="U101" s="716"/>
      <c r="V101" s="716"/>
      <c r="W101" s="713"/>
      <c r="X101" s="713"/>
      <c r="Y101" s="716"/>
      <c r="Z101" s="711"/>
      <c r="AA101" s="716"/>
      <c r="AB101" s="716"/>
    </row>
    <row r="102" spans="1:28" x14ac:dyDescent="0.25">
      <c r="A102" s="675"/>
      <c r="B102" s="672"/>
      <c r="C102" s="673"/>
      <c r="D102" s="413"/>
      <c r="E102" s="413"/>
      <c r="F102" s="674"/>
      <c r="G102" s="413"/>
      <c r="H102" s="548"/>
      <c r="I102" s="413"/>
      <c r="J102" s="413"/>
      <c r="K102" s="711"/>
      <c r="L102" s="711"/>
      <c r="M102" s="711"/>
      <c r="N102" s="711"/>
      <c r="O102" s="713"/>
      <c r="P102" s="711"/>
      <c r="Q102" s="713"/>
      <c r="R102" s="713"/>
      <c r="S102" s="711"/>
      <c r="T102" s="716"/>
      <c r="U102" s="716"/>
      <c r="V102" s="716"/>
      <c r="W102" s="713"/>
      <c r="X102" s="713"/>
      <c r="Y102" s="716"/>
      <c r="Z102" s="711"/>
      <c r="AA102" s="716"/>
      <c r="AB102" s="716"/>
    </row>
    <row r="103" spans="1:28" x14ac:dyDescent="0.25">
      <c r="A103" s="675"/>
      <c r="B103" s="672"/>
      <c r="C103" s="673"/>
      <c r="D103" s="413"/>
      <c r="E103" s="413"/>
      <c r="F103" s="674"/>
      <c r="G103" s="413"/>
      <c r="H103" s="548"/>
      <c r="I103" s="413"/>
      <c r="J103" s="413"/>
      <c r="K103" s="711"/>
      <c r="L103" s="711"/>
      <c r="M103" s="711"/>
      <c r="N103" s="711"/>
      <c r="O103" s="713"/>
      <c r="P103" s="711"/>
      <c r="Q103" s="713"/>
      <c r="R103" s="713"/>
      <c r="S103" s="711"/>
      <c r="T103" s="716"/>
      <c r="U103" s="716"/>
      <c r="V103" s="716"/>
      <c r="W103" s="713"/>
      <c r="X103" s="713"/>
      <c r="Y103" s="716"/>
      <c r="Z103" s="711"/>
      <c r="AA103" s="716"/>
      <c r="AB103" s="716"/>
    </row>
    <row r="104" spans="1:28" x14ac:dyDescent="0.25">
      <c r="A104" s="23"/>
      <c r="B104" s="24"/>
      <c r="C104" s="25"/>
      <c r="D104" s="27"/>
      <c r="E104" s="27"/>
      <c r="F104" s="28"/>
      <c r="G104" s="27"/>
      <c r="H104" s="548"/>
      <c r="I104" s="27"/>
      <c r="J104" s="738"/>
      <c r="K104" s="635"/>
      <c r="L104" s="635"/>
      <c r="M104" s="635"/>
      <c r="N104" s="635"/>
      <c r="O104" s="636"/>
      <c r="P104" s="635"/>
      <c r="Q104" s="636"/>
      <c r="R104" s="636"/>
      <c r="S104" s="635"/>
      <c r="T104" s="707"/>
      <c r="U104" s="707"/>
      <c r="V104" s="707"/>
      <c r="W104" s="636"/>
      <c r="X104" s="636"/>
      <c r="Y104" s="707"/>
      <c r="Z104" s="635"/>
      <c r="AA104" s="707"/>
      <c r="AB104" s="707"/>
    </row>
    <row r="105" spans="1:28" x14ac:dyDescent="0.25">
      <c r="A105" s="23"/>
      <c r="B105" s="24"/>
      <c r="C105" s="25"/>
      <c r="D105" s="27"/>
      <c r="E105" s="27"/>
      <c r="F105" s="28"/>
      <c r="G105" s="27"/>
      <c r="H105" s="548"/>
      <c r="I105" s="27"/>
      <c r="J105" s="738"/>
      <c r="K105" s="635"/>
      <c r="L105" s="635"/>
      <c r="M105" s="635"/>
      <c r="N105" s="635"/>
      <c r="O105" s="636"/>
      <c r="P105" s="635"/>
      <c r="Q105" s="636"/>
      <c r="R105" s="636"/>
      <c r="S105" s="635"/>
      <c r="T105" s="707"/>
      <c r="U105" s="707"/>
      <c r="V105" s="707"/>
      <c r="W105" s="636"/>
      <c r="X105" s="636"/>
      <c r="Y105" s="707"/>
      <c r="Z105" s="635"/>
      <c r="AA105" s="707"/>
      <c r="AB105" s="707"/>
    </row>
    <row r="106" spans="1:28" x14ac:dyDescent="0.25">
      <c r="A106" s="23"/>
      <c r="B106" s="24"/>
      <c r="C106" s="25"/>
      <c r="D106" s="27"/>
      <c r="E106" s="27"/>
      <c r="F106" s="28"/>
      <c r="G106" s="27"/>
      <c r="H106" s="548"/>
      <c r="I106" s="27"/>
      <c r="J106" s="738"/>
      <c r="K106" s="635"/>
      <c r="L106" s="635"/>
      <c r="M106" s="635"/>
      <c r="N106" s="635"/>
      <c r="O106" s="636"/>
      <c r="P106" s="635"/>
      <c r="Q106" s="636"/>
      <c r="R106" s="636"/>
      <c r="S106" s="635"/>
      <c r="T106" s="707"/>
      <c r="U106" s="707"/>
      <c r="V106" s="707"/>
      <c r="W106" s="636"/>
      <c r="X106" s="636"/>
      <c r="Y106" s="707"/>
      <c r="Z106" s="635"/>
      <c r="AA106" s="707"/>
      <c r="AB106" s="707"/>
    </row>
    <row r="107" spans="1:28" x14ac:dyDescent="0.25">
      <c r="A107" s="23"/>
      <c r="B107" s="24"/>
      <c r="C107" s="25"/>
      <c r="D107" s="27"/>
      <c r="E107" s="27"/>
      <c r="F107" s="28"/>
      <c r="G107" s="27"/>
      <c r="H107" s="548"/>
      <c r="I107" s="27"/>
      <c r="J107" s="738"/>
      <c r="K107" s="635"/>
      <c r="L107" s="635"/>
      <c r="M107" s="635"/>
      <c r="N107" s="635"/>
      <c r="O107" s="636"/>
      <c r="P107" s="635"/>
      <c r="Q107" s="636"/>
      <c r="R107" s="636"/>
      <c r="S107" s="635"/>
      <c r="T107" s="707"/>
      <c r="U107" s="707"/>
      <c r="V107" s="707"/>
      <c r="W107" s="636"/>
      <c r="X107" s="636"/>
      <c r="Y107" s="707"/>
      <c r="Z107" s="635"/>
      <c r="AA107" s="707"/>
      <c r="AB107" s="707"/>
    </row>
    <row r="108" spans="1:28" x14ac:dyDescent="0.25">
      <c r="A108" s="23"/>
      <c r="B108" s="24"/>
      <c r="C108" s="25"/>
      <c r="D108" s="27"/>
      <c r="E108" s="27"/>
      <c r="F108" s="28"/>
      <c r="G108" s="27"/>
      <c r="H108" s="548"/>
      <c r="I108" s="27"/>
      <c r="J108" s="738"/>
      <c r="K108" s="635"/>
      <c r="L108" s="635"/>
      <c r="M108" s="635"/>
      <c r="N108" s="635"/>
      <c r="O108" s="636"/>
      <c r="P108" s="635"/>
      <c r="Q108" s="636"/>
      <c r="R108" s="636"/>
      <c r="S108" s="635"/>
      <c r="T108" s="707"/>
      <c r="U108" s="707"/>
      <c r="V108" s="707"/>
      <c r="W108" s="636"/>
      <c r="X108" s="636"/>
      <c r="Y108" s="707"/>
      <c r="Z108" s="635"/>
      <c r="AA108" s="707"/>
      <c r="AB108" s="707"/>
    </row>
    <row r="109" spans="1:28" x14ac:dyDescent="0.25">
      <c r="A109" s="23"/>
      <c r="B109" s="24"/>
      <c r="C109" s="25"/>
      <c r="D109" s="27"/>
      <c r="E109" s="27"/>
      <c r="F109" s="28"/>
      <c r="G109" s="27"/>
      <c r="H109" s="548"/>
      <c r="I109" s="27"/>
      <c r="J109" s="738"/>
      <c r="K109" s="635"/>
      <c r="L109" s="635"/>
      <c r="M109" s="635"/>
      <c r="N109" s="635"/>
      <c r="O109" s="636"/>
      <c r="P109" s="635"/>
      <c r="Q109" s="636"/>
      <c r="R109" s="636"/>
      <c r="S109" s="635"/>
      <c r="T109" s="707"/>
      <c r="U109" s="707"/>
      <c r="V109" s="707"/>
      <c r="W109" s="636"/>
      <c r="X109" s="636"/>
      <c r="Y109" s="707"/>
      <c r="Z109" s="635"/>
      <c r="AA109" s="707"/>
      <c r="AB109" s="739"/>
    </row>
    <row r="110" spans="1:28" x14ac:dyDescent="0.25">
      <c r="A110" s="23"/>
      <c r="B110" s="24"/>
      <c r="C110" s="25"/>
      <c r="D110" s="27"/>
      <c r="E110" s="27"/>
      <c r="F110" s="28"/>
      <c r="G110" s="27"/>
      <c r="H110" s="548"/>
      <c r="I110" s="27"/>
      <c r="J110" s="738"/>
      <c r="K110" s="635"/>
      <c r="L110" s="635"/>
      <c r="M110" s="635"/>
      <c r="N110" s="635"/>
      <c r="O110" s="636"/>
      <c r="P110" s="635"/>
      <c r="Q110" s="636"/>
      <c r="R110" s="636"/>
      <c r="S110" s="635"/>
      <c r="T110" s="707"/>
      <c r="U110" s="707"/>
      <c r="V110" s="707"/>
      <c r="W110" s="636"/>
      <c r="X110" s="636"/>
      <c r="Y110" s="707"/>
      <c r="Z110" s="635"/>
      <c r="AA110" s="707"/>
      <c r="AB110" s="739"/>
    </row>
    <row r="111" spans="1:28" x14ac:dyDescent="0.25">
      <c r="A111" s="23"/>
      <c r="B111" s="24"/>
      <c r="C111" s="25"/>
      <c r="D111" s="27"/>
      <c r="E111" s="27"/>
      <c r="F111" s="28"/>
      <c r="G111" s="27"/>
      <c r="H111" s="548"/>
      <c r="I111" s="27"/>
      <c r="J111" s="738"/>
      <c r="K111" s="635"/>
      <c r="L111" s="635"/>
      <c r="M111" s="635"/>
      <c r="N111" s="635"/>
      <c r="O111" s="636"/>
      <c r="P111" s="635"/>
      <c r="Q111" s="636"/>
      <c r="R111" s="636"/>
      <c r="S111" s="635"/>
      <c r="T111" s="707"/>
      <c r="U111" s="707"/>
      <c r="V111" s="707"/>
      <c r="W111" s="636"/>
      <c r="X111" s="636"/>
      <c r="Y111" s="707"/>
      <c r="Z111" s="635"/>
      <c r="AA111" s="707"/>
      <c r="AB111" s="739"/>
    </row>
    <row r="112" spans="1:28" x14ac:dyDescent="0.25">
      <c r="A112" s="23"/>
      <c r="B112" s="24"/>
      <c r="C112" s="25"/>
      <c r="D112" s="27"/>
      <c r="E112" s="27"/>
      <c r="F112" s="28"/>
      <c r="G112" s="27"/>
      <c r="H112" s="548"/>
      <c r="I112" s="27"/>
      <c r="J112" s="738"/>
      <c r="K112" s="635"/>
      <c r="L112" s="635"/>
      <c r="M112" s="635"/>
      <c r="N112" s="635"/>
      <c r="O112" s="636"/>
      <c r="P112" s="635"/>
      <c r="Q112" s="636"/>
      <c r="R112" s="636"/>
      <c r="S112" s="635"/>
      <c r="T112" s="707"/>
      <c r="U112" s="707"/>
      <c r="V112" s="707"/>
      <c r="W112" s="636"/>
      <c r="X112" s="636"/>
      <c r="Y112" s="707"/>
      <c r="Z112" s="635"/>
      <c r="AA112" s="707"/>
      <c r="AB112" s="739"/>
    </row>
    <row r="113" spans="1:28" x14ac:dyDescent="0.25">
      <c r="A113" s="23"/>
      <c r="B113" s="24"/>
      <c r="C113" s="25"/>
      <c r="D113" s="27"/>
      <c r="E113" s="27"/>
      <c r="F113" s="28"/>
      <c r="G113" s="27"/>
      <c r="H113" s="548"/>
      <c r="I113" s="27"/>
      <c r="J113" s="738"/>
      <c r="K113" s="635"/>
      <c r="L113" s="635"/>
      <c r="M113" s="635"/>
      <c r="N113" s="635"/>
      <c r="O113" s="636"/>
      <c r="P113" s="635"/>
      <c r="Q113" s="636"/>
      <c r="R113" s="636"/>
      <c r="S113" s="635"/>
      <c r="T113" s="707"/>
      <c r="U113" s="707"/>
      <c r="V113" s="707"/>
      <c r="W113" s="636"/>
      <c r="X113" s="636"/>
      <c r="Y113" s="707"/>
      <c r="Z113" s="635"/>
      <c r="AA113" s="707"/>
      <c r="AB113" s="739"/>
    </row>
    <row r="114" spans="1:28" x14ac:dyDescent="0.25">
      <c r="A114" s="23"/>
      <c r="B114" s="24"/>
      <c r="C114" s="25"/>
      <c r="D114" s="27"/>
      <c r="E114" s="27"/>
      <c r="F114" s="28"/>
      <c r="G114" s="27"/>
      <c r="H114" s="548"/>
      <c r="I114" s="27"/>
      <c r="J114" s="738"/>
      <c r="K114" s="635"/>
      <c r="L114" s="635"/>
      <c r="M114" s="635"/>
      <c r="N114" s="635"/>
      <c r="O114" s="636"/>
      <c r="P114" s="635"/>
      <c r="Q114" s="636"/>
      <c r="R114" s="636"/>
      <c r="S114" s="635"/>
      <c r="T114" s="707"/>
      <c r="U114" s="707"/>
      <c r="V114" s="707"/>
      <c r="W114" s="636"/>
      <c r="X114" s="636"/>
      <c r="Y114" s="707"/>
      <c r="Z114" s="635"/>
      <c r="AA114" s="707"/>
      <c r="AB114" s="707"/>
    </row>
    <row r="115" spans="1:28" x14ac:dyDescent="0.25">
      <c r="A115" s="23"/>
      <c r="B115" s="24"/>
      <c r="C115" s="25"/>
      <c r="D115" s="27"/>
      <c r="E115" s="27"/>
      <c r="F115" s="28"/>
      <c r="G115" s="27"/>
      <c r="H115" s="548"/>
      <c r="I115" s="27"/>
      <c r="J115" s="738"/>
      <c r="K115" s="635"/>
      <c r="L115" s="635"/>
      <c r="M115" s="635"/>
      <c r="N115" s="635"/>
      <c r="O115" s="636"/>
      <c r="P115" s="635"/>
      <c r="Q115" s="636"/>
      <c r="R115" s="636"/>
      <c r="S115" s="635"/>
      <c r="T115" s="707"/>
      <c r="U115" s="707"/>
      <c r="V115" s="707"/>
      <c r="W115" s="636"/>
      <c r="X115" s="636"/>
      <c r="Y115" s="707"/>
      <c r="Z115" s="635"/>
      <c r="AA115" s="707"/>
      <c r="AB115" s="707"/>
    </row>
    <row r="116" spans="1:28" x14ac:dyDescent="0.25">
      <c r="A116" s="23"/>
      <c r="B116" s="24"/>
      <c r="C116" s="25"/>
      <c r="D116" s="27"/>
      <c r="E116" s="27"/>
      <c r="F116" s="28"/>
      <c r="G116" s="27"/>
      <c r="H116" s="548"/>
      <c r="I116" s="27"/>
      <c r="J116" s="738"/>
      <c r="K116" s="635"/>
      <c r="L116" s="635"/>
      <c r="M116" s="635"/>
      <c r="N116" s="635"/>
      <c r="O116" s="636"/>
      <c r="P116" s="635"/>
      <c r="Q116" s="636"/>
      <c r="R116" s="636"/>
      <c r="S116" s="635"/>
      <c r="T116" s="707"/>
      <c r="U116" s="707"/>
      <c r="V116" s="707"/>
      <c r="W116" s="636"/>
      <c r="X116" s="636"/>
      <c r="Y116" s="707"/>
      <c r="Z116" s="635"/>
      <c r="AA116" s="707"/>
      <c r="AB116" s="707"/>
    </row>
    <row r="117" spans="1:28" x14ac:dyDescent="0.25">
      <c r="A117" s="23"/>
      <c r="B117" s="24"/>
      <c r="C117" s="25"/>
      <c r="D117" s="27"/>
      <c r="E117" s="27"/>
      <c r="F117" s="28"/>
      <c r="G117" s="27"/>
      <c r="H117" s="548"/>
      <c r="I117" s="27"/>
      <c r="J117" s="738"/>
      <c r="K117" s="635"/>
      <c r="L117" s="635"/>
      <c r="M117" s="635"/>
      <c r="N117" s="635"/>
      <c r="O117" s="636"/>
      <c r="P117" s="635"/>
      <c r="Q117" s="636"/>
      <c r="R117" s="636"/>
      <c r="S117" s="635"/>
      <c r="T117" s="707"/>
      <c r="U117" s="707"/>
      <c r="V117" s="707"/>
      <c r="W117" s="636"/>
      <c r="X117" s="636"/>
      <c r="Y117" s="707"/>
      <c r="Z117" s="635"/>
      <c r="AA117" s="707"/>
      <c r="AB117" s="707"/>
    </row>
    <row r="118" spans="1:28" x14ac:dyDescent="0.25">
      <c r="A118" s="23"/>
      <c r="B118" s="24"/>
      <c r="C118" s="25"/>
      <c r="D118" s="27"/>
      <c r="E118" s="27"/>
      <c r="F118" s="28"/>
      <c r="G118" s="27"/>
      <c r="H118" s="548"/>
      <c r="I118" s="27"/>
      <c r="J118" s="738"/>
      <c r="K118" s="635"/>
      <c r="L118" s="635"/>
      <c r="M118" s="635"/>
      <c r="N118" s="635"/>
      <c r="O118" s="636"/>
      <c r="P118" s="635"/>
      <c r="Q118" s="636"/>
      <c r="R118" s="636"/>
      <c r="S118" s="635"/>
      <c r="T118" s="707"/>
      <c r="U118" s="707"/>
      <c r="V118" s="707"/>
      <c r="W118" s="636"/>
      <c r="X118" s="636"/>
      <c r="Y118" s="707"/>
      <c r="Z118" s="635"/>
      <c r="AA118" s="707"/>
      <c r="AB118" s="707"/>
    </row>
    <row r="119" spans="1:28" x14ac:dyDescent="0.25">
      <c r="A119" s="23"/>
      <c r="B119" s="24"/>
      <c r="C119" s="25"/>
      <c r="D119" s="27"/>
      <c r="E119" s="27"/>
      <c r="F119" s="28"/>
      <c r="G119" s="27"/>
      <c r="H119" s="548"/>
      <c r="I119" s="27"/>
      <c r="J119" s="738"/>
      <c r="K119" s="635"/>
      <c r="L119" s="635"/>
      <c r="M119" s="635"/>
      <c r="N119" s="635"/>
      <c r="O119" s="636"/>
      <c r="P119" s="635"/>
      <c r="Q119" s="636"/>
      <c r="R119" s="636"/>
      <c r="S119" s="635"/>
      <c r="T119" s="707"/>
      <c r="U119" s="707"/>
      <c r="V119" s="707"/>
      <c r="W119" s="636"/>
      <c r="X119" s="636"/>
      <c r="Y119" s="707"/>
      <c r="Z119" s="635"/>
      <c r="AA119" s="707"/>
      <c r="AB119" s="707"/>
    </row>
    <row r="120" spans="1:28" x14ac:dyDescent="0.25">
      <c r="A120" s="23"/>
      <c r="B120" s="24"/>
      <c r="C120" s="25"/>
      <c r="D120" s="27"/>
      <c r="E120" s="27"/>
      <c r="F120" s="28"/>
      <c r="G120" s="27"/>
      <c r="H120" s="548"/>
      <c r="I120" s="27"/>
      <c r="J120" s="738"/>
      <c r="K120" s="635"/>
      <c r="L120" s="635"/>
      <c r="M120" s="635"/>
      <c r="N120" s="635"/>
      <c r="O120" s="636"/>
      <c r="P120" s="635"/>
      <c r="Q120" s="636"/>
      <c r="R120" s="636"/>
      <c r="S120" s="635"/>
      <c r="T120" s="707"/>
      <c r="U120" s="707"/>
      <c r="V120" s="707"/>
      <c r="W120" s="636"/>
      <c r="X120" s="636"/>
      <c r="Y120" s="707"/>
      <c r="Z120" s="635"/>
      <c r="AA120" s="707"/>
      <c r="AB120" s="707"/>
    </row>
    <row r="121" spans="1:28" x14ac:dyDescent="0.25">
      <c r="A121" s="23"/>
      <c r="B121" s="24"/>
      <c r="C121" s="25"/>
      <c r="D121" s="27"/>
      <c r="E121" s="27"/>
      <c r="F121" s="28"/>
      <c r="G121" s="27"/>
      <c r="H121" s="548"/>
      <c r="I121" s="27"/>
      <c r="J121" s="738"/>
      <c r="K121" s="635"/>
      <c r="L121" s="635"/>
      <c r="M121" s="635"/>
      <c r="N121" s="635"/>
      <c r="O121" s="636"/>
      <c r="P121" s="635"/>
      <c r="Q121" s="636"/>
      <c r="R121" s="636"/>
      <c r="S121" s="635"/>
      <c r="T121" s="707"/>
      <c r="U121" s="707"/>
      <c r="V121" s="707"/>
      <c r="W121" s="636"/>
      <c r="X121" s="636"/>
      <c r="Y121" s="707"/>
      <c r="Z121" s="635"/>
      <c r="AA121" s="707"/>
      <c r="AB121" s="707"/>
    </row>
    <row r="122" spans="1:28" x14ac:dyDescent="0.25">
      <c r="A122" s="23"/>
      <c r="B122" s="24"/>
      <c r="C122" s="25"/>
      <c r="D122" s="27"/>
      <c r="E122" s="27"/>
      <c r="F122" s="28"/>
      <c r="G122" s="27"/>
      <c r="H122" s="548"/>
      <c r="I122" s="27"/>
      <c r="J122" s="738"/>
      <c r="K122" s="635"/>
      <c r="L122" s="635"/>
      <c r="M122" s="635"/>
      <c r="N122" s="635"/>
      <c r="O122" s="636"/>
      <c r="P122" s="635"/>
      <c r="Q122" s="636"/>
      <c r="R122" s="636"/>
      <c r="S122" s="635"/>
      <c r="T122" s="707"/>
      <c r="U122" s="707"/>
      <c r="V122" s="707"/>
      <c r="W122" s="636"/>
      <c r="X122" s="636"/>
      <c r="Y122" s="707"/>
      <c r="Z122" s="635"/>
      <c r="AA122" s="707"/>
      <c r="AB122" s="707"/>
    </row>
    <row r="123" spans="1:28" x14ac:dyDescent="0.25">
      <c r="A123" s="23"/>
      <c r="B123" s="24"/>
      <c r="C123" s="25"/>
      <c r="D123" s="27"/>
      <c r="E123" s="27"/>
      <c r="F123" s="28"/>
      <c r="G123" s="27"/>
      <c r="H123" s="548"/>
      <c r="I123" s="27"/>
      <c r="J123" s="738"/>
      <c r="K123" s="635"/>
      <c r="L123" s="635"/>
      <c r="M123" s="635"/>
      <c r="N123" s="635"/>
      <c r="O123" s="636"/>
      <c r="P123" s="635"/>
      <c r="Q123" s="636"/>
      <c r="R123" s="636"/>
      <c r="S123" s="635"/>
      <c r="T123" s="707"/>
      <c r="U123" s="707"/>
      <c r="V123" s="707"/>
      <c r="W123" s="636"/>
      <c r="X123" s="636"/>
      <c r="Y123" s="707"/>
      <c r="Z123" s="635"/>
      <c r="AA123" s="707"/>
      <c r="AB123" s="707"/>
    </row>
    <row r="124" spans="1:28" x14ac:dyDescent="0.25">
      <c r="A124" s="23"/>
      <c r="B124" s="24"/>
      <c r="C124" s="25"/>
      <c r="D124" s="27"/>
      <c r="E124" s="27"/>
      <c r="F124" s="28"/>
      <c r="G124" s="27"/>
      <c r="H124" s="548"/>
      <c r="I124" s="27"/>
      <c r="J124" s="738"/>
      <c r="K124" s="635"/>
      <c r="L124" s="635"/>
      <c r="M124" s="635"/>
      <c r="N124" s="635"/>
      <c r="O124" s="636"/>
      <c r="P124" s="635"/>
      <c r="Q124" s="636"/>
      <c r="R124" s="636"/>
      <c r="S124" s="635"/>
      <c r="T124" s="707"/>
      <c r="U124" s="707"/>
      <c r="V124" s="707"/>
      <c r="W124" s="636"/>
      <c r="X124" s="636"/>
      <c r="Y124" s="707"/>
      <c r="Z124" s="635"/>
      <c r="AA124" s="707"/>
      <c r="AB124" s="707"/>
    </row>
    <row r="125" spans="1:28" x14ac:dyDescent="0.25">
      <c r="A125" s="23"/>
      <c r="B125" s="24"/>
      <c r="C125" s="25"/>
      <c r="D125" s="27"/>
      <c r="E125" s="27"/>
      <c r="F125" s="28"/>
      <c r="G125" s="27"/>
      <c r="H125" s="548"/>
      <c r="I125" s="27"/>
      <c r="J125" s="738"/>
      <c r="K125" s="635"/>
      <c r="L125" s="635"/>
      <c r="M125" s="635"/>
      <c r="N125" s="635"/>
      <c r="O125" s="636"/>
      <c r="P125" s="635"/>
      <c r="Q125" s="636"/>
      <c r="R125" s="636"/>
      <c r="S125" s="635"/>
      <c r="T125" s="707"/>
      <c r="U125" s="707"/>
      <c r="V125" s="707"/>
      <c r="W125" s="636"/>
      <c r="X125" s="636"/>
      <c r="Y125" s="707"/>
      <c r="Z125" s="635"/>
      <c r="AA125" s="707"/>
      <c r="AB125" s="707"/>
    </row>
    <row r="126" spans="1:28" x14ac:dyDescent="0.25">
      <c r="A126" s="23"/>
      <c r="B126" s="24"/>
      <c r="C126" s="25"/>
      <c r="D126" s="27"/>
      <c r="E126" s="27"/>
      <c r="F126" s="28"/>
      <c r="G126" s="27"/>
      <c r="H126" s="548"/>
      <c r="I126" s="27"/>
      <c r="J126" s="738"/>
      <c r="K126" s="635"/>
      <c r="L126" s="635"/>
      <c r="M126" s="635"/>
      <c r="N126" s="635"/>
      <c r="O126" s="636"/>
      <c r="P126" s="635"/>
      <c r="Q126" s="636"/>
      <c r="R126" s="636"/>
      <c r="S126" s="635"/>
      <c r="T126" s="707"/>
      <c r="U126" s="707"/>
      <c r="V126" s="707"/>
      <c r="W126" s="636"/>
      <c r="X126" s="636"/>
      <c r="Y126" s="707"/>
      <c r="Z126" s="635"/>
      <c r="AA126" s="707"/>
      <c r="AB126" s="707"/>
    </row>
    <row r="127" spans="1:28" x14ac:dyDescent="0.25">
      <c r="A127" s="23"/>
      <c r="B127" s="24"/>
      <c r="C127" s="25"/>
      <c r="D127" s="27"/>
      <c r="E127" s="27"/>
      <c r="F127" s="28"/>
      <c r="G127" s="27"/>
      <c r="H127" s="548"/>
      <c r="I127" s="27"/>
      <c r="J127" s="738"/>
      <c r="K127" s="635"/>
      <c r="L127" s="635"/>
      <c r="M127" s="635"/>
      <c r="N127" s="635"/>
      <c r="O127" s="636"/>
      <c r="P127" s="635"/>
      <c r="Q127" s="636"/>
      <c r="R127" s="636"/>
      <c r="S127" s="635"/>
      <c r="T127" s="707"/>
      <c r="U127" s="707"/>
      <c r="V127" s="707"/>
      <c r="W127" s="636"/>
      <c r="X127" s="636"/>
      <c r="Y127" s="707"/>
      <c r="Z127" s="635"/>
      <c r="AA127" s="707"/>
      <c r="AB127" s="707"/>
    </row>
    <row r="128" spans="1:28" x14ac:dyDescent="0.25">
      <c r="A128" s="23"/>
      <c r="B128" s="24"/>
      <c r="C128" s="25"/>
      <c r="D128" s="27"/>
      <c r="E128" s="27"/>
      <c r="F128" s="28"/>
      <c r="G128" s="27"/>
      <c r="H128" s="548"/>
      <c r="I128" s="27"/>
      <c r="J128" s="738"/>
      <c r="K128" s="635"/>
      <c r="L128" s="635"/>
      <c r="M128" s="635"/>
      <c r="N128" s="635"/>
      <c r="O128" s="636"/>
      <c r="P128" s="635"/>
      <c r="Q128" s="636"/>
      <c r="R128" s="636"/>
      <c r="S128" s="635"/>
      <c r="T128" s="707"/>
      <c r="U128" s="707"/>
      <c r="V128" s="707"/>
      <c r="W128" s="636"/>
      <c r="X128" s="636"/>
      <c r="Y128" s="707"/>
      <c r="Z128" s="635"/>
      <c r="AA128" s="707"/>
      <c r="AB128" s="707"/>
    </row>
    <row r="129" spans="1:28" x14ac:dyDescent="0.25">
      <c r="A129" s="23"/>
      <c r="B129" s="24"/>
      <c r="C129" s="25"/>
      <c r="D129" s="27"/>
      <c r="E129" s="27"/>
      <c r="F129" s="28"/>
      <c r="G129" s="27"/>
      <c r="H129" s="548"/>
      <c r="I129" s="27"/>
      <c r="J129" s="738"/>
      <c r="K129" s="635"/>
      <c r="L129" s="635"/>
      <c r="M129" s="635"/>
      <c r="N129" s="635"/>
      <c r="O129" s="636"/>
      <c r="P129" s="635"/>
      <c r="Q129" s="636"/>
      <c r="R129" s="636"/>
      <c r="S129" s="635"/>
      <c r="T129" s="707"/>
      <c r="U129" s="707"/>
      <c r="V129" s="707"/>
      <c r="W129" s="636"/>
      <c r="X129" s="636"/>
      <c r="Y129" s="707"/>
      <c r="Z129" s="635"/>
      <c r="AA129" s="707"/>
      <c r="AB129" s="707"/>
    </row>
    <row r="130" spans="1:28" x14ac:dyDescent="0.25">
      <c r="A130" s="23"/>
      <c r="B130" s="24"/>
      <c r="C130" s="25"/>
      <c r="D130" s="27"/>
      <c r="E130" s="27"/>
      <c r="F130" s="28"/>
      <c r="G130" s="27"/>
      <c r="H130" s="548"/>
      <c r="I130" s="27"/>
      <c r="J130" s="738"/>
      <c r="K130" s="635"/>
      <c r="L130" s="635"/>
      <c r="M130" s="635"/>
      <c r="N130" s="635"/>
      <c r="O130" s="636"/>
      <c r="P130" s="635"/>
      <c r="Q130" s="636"/>
      <c r="R130" s="636"/>
      <c r="S130" s="635"/>
      <c r="T130" s="707"/>
      <c r="U130" s="707"/>
      <c r="V130" s="707"/>
      <c r="W130" s="636"/>
      <c r="X130" s="636"/>
      <c r="Y130" s="707"/>
      <c r="Z130" s="635"/>
      <c r="AA130" s="707"/>
      <c r="AB130" s="707"/>
    </row>
    <row r="131" spans="1:28" x14ac:dyDescent="0.25">
      <c r="A131" s="23"/>
      <c r="B131" s="24"/>
      <c r="C131" s="25"/>
      <c r="D131" s="27"/>
      <c r="E131" s="27"/>
      <c r="F131" s="28"/>
      <c r="G131" s="27"/>
      <c r="H131" s="548"/>
      <c r="I131" s="27"/>
      <c r="J131" s="738"/>
      <c r="K131" s="635"/>
      <c r="L131" s="635"/>
      <c r="M131" s="635"/>
      <c r="N131" s="635"/>
      <c r="O131" s="636"/>
      <c r="P131" s="635"/>
      <c r="Q131" s="636"/>
      <c r="R131" s="636"/>
      <c r="S131" s="635"/>
      <c r="T131" s="707"/>
      <c r="U131" s="707"/>
      <c r="V131" s="707"/>
      <c r="W131" s="636"/>
      <c r="X131" s="636"/>
      <c r="Y131" s="707"/>
      <c r="Z131" s="635"/>
      <c r="AA131" s="707"/>
      <c r="AB131" s="707"/>
    </row>
    <row r="132" spans="1:28" x14ac:dyDescent="0.25">
      <c r="A132" s="23"/>
      <c r="B132" s="24"/>
      <c r="C132" s="25"/>
      <c r="D132" s="27"/>
      <c r="E132" s="27"/>
      <c r="F132" s="28"/>
      <c r="G132" s="27"/>
      <c r="H132" s="548"/>
      <c r="I132" s="27"/>
      <c r="J132" s="738"/>
      <c r="K132" s="635"/>
      <c r="L132" s="635"/>
      <c r="M132" s="635"/>
      <c r="N132" s="635"/>
      <c r="O132" s="636"/>
      <c r="P132" s="635"/>
      <c r="Q132" s="636"/>
      <c r="R132" s="636"/>
      <c r="S132" s="635"/>
      <c r="T132" s="707"/>
      <c r="U132" s="707"/>
      <c r="V132" s="707"/>
      <c r="W132" s="636"/>
      <c r="X132" s="636"/>
      <c r="Y132" s="707"/>
      <c r="Z132" s="635"/>
      <c r="AA132" s="707"/>
      <c r="AB132" s="707"/>
    </row>
    <row r="133" spans="1:28" x14ac:dyDescent="0.25">
      <c r="A133" s="23"/>
      <c r="B133" s="24"/>
      <c r="C133" s="25"/>
      <c r="D133" s="27"/>
      <c r="E133" s="27"/>
      <c r="F133" s="28"/>
      <c r="G133" s="27"/>
      <c r="H133" s="548"/>
      <c r="I133" s="27"/>
      <c r="J133" s="738"/>
      <c r="K133" s="635"/>
      <c r="L133" s="635"/>
      <c r="M133" s="635"/>
      <c r="N133" s="635"/>
      <c r="O133" s="636"/>
      <c r="P133" s="635"/>
      <c r="Q133" s="636"/>
      <c r="R133" s="636"/>
      <c r="S133" s="635"/>
      <c r="T133" s="707"/>
      <c r="U133" s="707"/>
      <c r="V133" s="707"/>
      <c r="W133" s="636"/>
      <c r="X133" s="636"/>
      <c r="Y133" s="707"/>
      <c r="Z133" s="635"/>
      <c r="AA133" s="707"/>
      <c r="AB133" s="707"/>
    </row>
    <row r="134" spans="1:28" x14ac:dyDescent="0.25">
      <c r="A134" s="23"/>
      <c r="B134" s="24"/>
      <c r="C134" s="25"/>
      <c r="D134" s="27"/>
      <c r="E134" s="27"/>
      <c r="F134" s="28"/>
      <c r="G134" s="27"/>
      <c r="H134" s="548"/>
      <c r="I134" s="27"/>
      <c r="J134" s="738"/>
      <c r="K134" s="635"/>
      <c r="L134" s="635"/>
      <c r="M134" s="635"/>
      <c r="N134" s="635"/>
      <c r="O134" s="636"/>
      <c r="P134" s="635"/>
      <c r="Q134" s="636"/>
      <c r="R134" s="636"/>
      <c r="S134" s="635"/>
      <c r="T134" s="707"/>
      <c r="U134" s="707"/>
      <c r="V134" s="707"/>
      <c r="W134" s="636"/>
      <c r="X134" s="636"/>
      <c r="Y134" s="707"/>
      <c r="Z134" s="635"/>
      <c r="AA134" s="707"/>
      <c r="AB134" s="707"/>
    </row>
    <row r="135" spans="1:28" x14ac:dyDescent="0.25">
      <c r="A135" s="23"/>
      <c r="B135" s="24"/>
      <c r="C135" s="25"/>
      <c r="D135" s="27"/>
      <c r="E135" s="27"/>
      <c r="F135" s="28"/>
      <c r="G135" s="27"/>
      <c r="H135" s="548"/>
      <c r="I135" s="27"/>
      <c r="J135" s="738"/>
      <c r="K135" s="635"/>
      <c r="L135" s="635"/>
      <c r="M135" s="635"/>
      <c r="N135" s="635"/>
      <c r="O135" s="636"/>
      <c r="P135" s="635"/>
      <c r="Q135" s="636"/>
      <c r="R135" s="636"/>
      <c r="S135" s="635"/>
      <c r="T135" s="707"/>
      <c r="U135" s="707"/>
      <c r="V135" s="707"/>
      <c r="W135" s="636"/>
      <c r="X135" s="636"/>
      <c r="Y135" s="707"/>
      <c r="Z135" s="635"/>
      <c r="AA135" s="707"/>
      <c r="AB135" s="707"/>
    </row>
    <row r="136" spans="1:28" x14ac:dyDescent="0.25">
      <c r="A136" s="23"/>
      <c r="B136" s="24"/>
      <c r="C136" s="25"/>
      <c r="D136" s="27"/>
      <c r="E136" s="27"/>
      <c r="F136" s="28"/>
      <c r="G136" s="27"/>
      <c r="H136" s="548"/>
      <c r="I136" s="27"/>
      <c r="J136" s="738"/>
      <c r="K136" s="635"/>
      <c r="L136" s="635"/>
      <c r="M136" s="635"/>
      <c r="N136" s="635"/>
      <c r="O136" s="636"/>
      <c r="P136" s="635"/>
      <c r="Q136" s="636"/>
      <c r="R136" s="636"/>
      <c r="S136" s="635"/>
      <c r="T136" s="707"/>
      <c r="U136" s="707"/>
      <c r="V136" s="707"/>
      <c r="W136" s="636"/>
      <c r="X136" s="636"/>
      <c r="Y136" s="707"/>
      <c r="Z136" s="635"/>
      <c r="AA136" s="707"/>
      <c r="AB136" s="707"/>
    </row>
    <row r="137" spans="1:28" x14ac:dyDescent="0.25">
      <c r="A137" s="23"/>
      <c r="B137" s="24"/>
      <c r="C137" s="25"/>
      <c r="D137" s="27"/>
      <c r="E137" s="27"/>
      <c r="F137" s="28"/>
      <c r="G137" s="27"/>
      <c r="H137" s="548"/>
      <c r="I137" s="27"/>
      <c r="J137" s="738"/>
      <c r="K137" s="635"/>
      <c r="L137" s="635"/>
      <c r="M137" s="635"/>
      <c r="N137" s="635"/>
      <c r="O137" s="636"/>
      <c r="P137" s="635"/>
      <c r="Q137" s="636"/>
      <c r="R137" s="636"/>
      <c r="S137" s="635"/>
      <c r="T137" s="707"/>
      <c r="U137" s="707"/>
      <c r="V137" s="707"/>
      <c r="W137" s="636"/>
      <c r="X137" s="636"/>
      <c r="Y137" s="707"/>
      <c r="Z137" s="635"/>
      <c r="AA137" s="707"/>
      <c r="AB137" s="707"/>
    </row>
    <row r="138" spans="1:28" x14ac:dyDescent="0.25">
      <c r="A138" s="23"/>
      <c r="B138" s="24"/>
      <c r="C138" s="25"/>
      <c r="D138" s="27"/>
      <c r="E138" s="27"/>
      <c r="F138" s="28"/>
      <c r="G138" s="27"/>
      <c r="H138" s="548"/>
      <c r="I138" s="27"/>
      <c r="J138" s="738"/>
      <c r="K138" s="635"/>
      <c r="L138" s="635"/>
      <c r="M138" s="635"/>
      <c r="N138" s="635"/>
      <c r="O138" s="636"/>
      <c r="P138" s="635"/>
      <c r="Q138" s="636"/>
      <c r="R138" s="636"/>
      <c r="S138" s="635"/>
      <c r="T138" s="707"/>
      <c r="U138" s="707"/>
      <c r="V138" s="707"/>
      <c r="W138" s="636"/>
      <c r="X138" s="636"/>
      <c r="Y138" s="707"/>
      <c r="Z138" s="635"/>
      <c r="AA138" s="707"/>
      <c r="AB138" s="707"/>
    </row>
    <row r="139" spans="1:28" x14ac:dyDescent="0.25">
      <c r="A139" s="23"/>
      <c r="B139" s="24"/>
      <c r="C139" s="25"/>
      <c r="D139" s="27"/>
      <c r="E139" s="27"/>
      <c r="F139" s="28"/>
      <c r="G139" s="27"/>
      <c r="H139" s="548"/>
      <c r="I139" s="27"/>
      <c r="J139" s="738"/>
      <c r="K139" s="635"/>
      <c r="L139" s="635"/>
      <c r="M139" s="635"/>
      <c r="N139" s="635"/>
      <c r="O139" s="636"/>
      <c r="P139" s="635"/>
      <c r="Q139" s="636"/>
      <c r="R139" s="636"/>
      <c r="S139" s="635"/>
      <c r="T139" s="707"/>
      <c r="U139" s="707"/>
      <c r="V139" s="707"/>
      <c r="W139" s="636"/>
      <c r="X139" s="636"/>
      <c r="Y139" s="707"/>
      <c r="Z139" s="635"/>
      <c r="AA139" s="707"/>
      <c r="AB139" s="707"/>
    </row>
    <row r="140" spans="1:28" x14ac:dyDescent="0.25">
      <c r="A140" s="23"/>
      <c r="B140" s="24"/>
      <c r="C140" s="25"/>
      <c r="D140" s="27"/>
      <c r="E140" s="27"/>
      <c r="F140" s="28"/>
      <c r="G140" s="27"/>
      <c r="H140" s="548"/>
      <c r="I140" s="27"/>
      <c r="J140" s="738"/>
      <c r="K140" s="635"/>
      <c r="L140" s="635"/>
      <c r="M140" s="635"/>
      <c r="N140" s="635"/>
      <c r="O140" s="636"/>
      <c r="P140" s="635"/>
      <c r="Q140" s="636"/>
      <c r="R140" s="636"/>
      <c r="S140" s="635"/>
      <c r="T140" s="707"/>
      <c r="U140" s="707"/>
      <c r="V140" s="707"/>
      <c r="W140" s="636"/>
      <c r="X140" s="636"/>
      <c r="Y140" s="707"/>
      <c r="Z140" s="635"/>
      <c r="AA140" s="707"/>
      <c r="AB140" s="707"/>
    </row>
    <row r="141" spans="1:28" x14ac:dyDescent="0.25">
      <c r="A141" s="23"/>
      <c r="B141" s="24"/>
      <c r="C141" s="25"/>
      <c r="D141" s="27"/>
      <c r="E141" s="27"/>
      <c r="F141" s="28"/>
      <c r="G141" s="27"/>
      <c r="H141" s="548"/>
      <c r="I141" s="27"/>
      <c r="J141" s="738"/>
      <c r="K141" s="635"/>
      <c r="L141" s="635"/>
      <c r="M141" s="635"/>
      <c r="N141" s="635"/>
      <c r="O141" s="636"/>
      <c r="P141" s="635"/>
      <c r="Q141" s="636"/>
      <c r="R141" s="636"/>
      <c r="S141" s="635"/>
      <c r="T141" s="707"/>
      <c r="U141" s="707"/>
      <c r="V141" s="707"/>
      <c r="W141" s="636"/>
      <c r="X141" s="636"/>
      <c r="Y141" s="707"/>
      <c r="Z141" s="635"/>
      <c r="AA141" s="707"/>
      <c r="AB141" s="707"/>
    </row>
    <row r="142" spans="1:28" x14ac:dyDescent="0.25">
      <c r="A142" s="23"/>
      <c r="B142" s="24"/>
      <c r="C142" s="25"/>
      <c r="D142" s="27"/>
      <c r="E142" s="27"/>
      <c r="F142" s="28"/>
      <c r="G142" s="27"/>
      <c r="H142" s="548"/>
      <c r="I142" s="27"/>
      <c r="J142" s="738"/>
      <c r="K142" s="635"/>
      <c r="L142" s="635"/>
      <c r="M142" s="635"/>
      <c r="N142" s="635"/>
      <c r="O142" s="636"/>
      <c r="P142" s="635"/>
      <c r="Q142" s="636"/>
      <c r="R142" s="636"/>
      <c r="S142" s="635"/>
      <c r="T142" s="707"/>
      <c r="U142" s="707"/>
      <c r="V142" s="707"/>
      <c r="W142" s="636"/>
      <c r="X142" s="636"/>
      <c r="Y142" s="707"/>
      <c r="Z142" s="635"/>
      <c r="AA142" s="707"/>
      <c r="AB142" s="707"/>
    </row>
    <row r="143" spans="1:28" x14ac:dyDescent="0.25">
      <c r="A143" s="23"/>
      <c r="B143" s="24"/>
      <c r="C143" s="25"/>
      <c r="D143" s="27"/>
      <c r="E143" s="27"/>
      <c r="F143" s="28"/>
      <c r="G143" s="27"/>
      <c r="H143" s="548"/>
      <c r="I143" s="27"/>
      <c r="J143" s="738"/>
      <c r="K143" s="635"/>
      <c r="L143" s="635"/>
      <c r="M143" s="635"/>
      <c r="N143" s="635"/>
      <c r="O143" s="636"/>
      <c r="P143" s="635"/>
      <c r="Q143" s="636"/>
      <c r="R143" s="636"/>
      <c r="S143" s="635"/>
      <c r="T143" s="707"/>
      <c r="U143" s="707"/>
      <c r="V143" s="707"/>
      <c r="W143" s="636"/>
      <c r="X143" s="636"/>
      <c r="Y143" s="707"/>
      <c r="Z143" s="635"/>
      <c r="AA143" s="707"/>
      <c r="AB143" s="707"/>
    </row>
    <row r="144" spans="1:28" x14ac:dyDescent="0.25">
      <c r="A144" s="23"/>
      <c r="B144" s="24"/>
      <c r="C144" s="25"/>
      <c r="D144" s="27"/>
      <c r="E144" s="27"/>
      <c r="F144" s="28"/>
      <c r="G144" s="27"/>
      <c r="H144" s="548"/>
      <c r="I144" s="27"/>
      <c r="J144" s="738"/>
      <c r="K144" s="635"/>
      <c r="L144" s="635"/>
      <c r="M144" s="635"/>
      <c r="N144" s="635"/>
      <c r="O144" s="636"/>
      <c r="P144" s="635"/>
      <c r="Q144" s="636"/>
      <c r="R144" s="636"/>
      <c r="S144" s="635"/>
      <c r="T144" s="707"/>
      <c r="U144" s="707"/>
      <c r="V144" s="707"/>
      <c r="W144" s="636"/>
      <c r="X144" s="636"/>
      <c r="Y144" s="707"/>
      <c r="Z144" s="635"/>
      <c r="AA144" s="707"/>
      <c r="AB144" s="707"/>
    </row>
    <row r="145" spans="1:28" x14ac:dyDescent="0.25">
      <c r="A145" s="23"/>
      <c r="B145" s="24"/>
      <c r="C145" s="25"/>
      <c r="D145" s="27"/>
      <c r="E145" s="27"/>
      <c r="F145" s="28"/>
      <c r="G145" s="27"/>
      <c r="H145" s="548"/>
      <c r="I145" s="27"/>
      <c r="J145" s="738"/>
      <c r="K145" s="635"/>
      <c r="L145" s="635"/>
      <c r="M145" s="635"/>
      <c r="N145" s="635"/>
      <c r="O145" s="636"/>
      <c r="P145" s="635"/>
      <c r="Q145" s="636"/>
      <c r="R145" s="636"/>
      <c r="S145" s="635"/>
      <c r="T145" s="707"/>
      <c r="U145" s="707"/>
      <c r="V145" s="707"/>
      <c r="W145" s="636"/>
      <c r="X145" s="636"/>
      <c r="Y145" s="707"/>
      <c r="Z145" s="635"/>
      <c r="AA145" s="707"/>
      <c r="AB145" s="707"/>
    </row>
    <row r="146" spans="1:28" x14ac:dyDescent="0.25">
      <c r="A146" s="23"/>
      <c r="B146" s="24"/>
      <c r="C146" s="25"/>
      <c r="D146" s="27"/>
      <c r="E146" s="27"/>
      <c r="F146" s="28"/>
      <c r="G146" s="27"/>
      <c r="H146" s="548"/>
      <c r="I146" s="27"/>
      <c r="J146" s="738"/>
      <c r="K146" s="635"/>
      <c r="L146" s="635"/>
      <c r="M146" s="635"/>
      <c r="N146" s="635"/>
      <c r="O146" s="636"/>
      <c r="P146" s="635"/>
      <c r="Q146" s="636"/>
      <c r="R146" s="636"/>
      <c r="S146" s="635"/>
      <c r="T146" s="707"/>
      <c r="U146" s="707"/>
      <c r="V146" s="707"/>
      <c r="W146" s="636"/>
      <c r="X146" s="636"/>
      <c r="Y146" s="707"/>
      <c r="Z146" s="635"/>
      <c r="AA146" s="707"/>
      <c r="AB146" s="707"/>
    </row>
    <row r="147" spans="1:28" x14ac:dyDescent="0.25">
      <c r="A147" s="23"/>
      <c r="B147" s="24"/>
      <c r="C147" s="25"/>
      <c r="D147" s="27"/>
      <c r="E147" s="27"/>
      <c r="F147" s="28"/>
      <c r="G147" s="27"/>
      <c r="H147" s="548"/>
      <c r="I147" s="27"/>
      <c r="J147" s="738"/>
      <c r="K147" s="635"/>
      <c r="L147" s="635"/>
      <c r="M147" s="635"/>
      <c r="N147" s="635"/>
      <c r="O147" s="636"/>
      <c r="P147" s="635"/>
      <c r="Q147" s="636"/>
      <c r="R147" s="636"/>
      <c r="S147" s="635"/>
      <c r="T147" s="707"/>
      <c r="U147" s="707"/>
      <c r="V147" s="707"/>
      <c r="W147" s="636"/>
      <c r="X147" s="636"/>
      <c r="Y147" s="707"/>
      <c r="Z147" s="635"/>
      <c r="AA147" s="707"/>
      <c r="AB147" s="707"/>
    </row>
    <row r="148" spans="1:28" x14ac:dyDescent="0.25">
      <c r="A148" s="23"/>
      <c r="B148" s="24"/>
      <c r="C148" s="25"/>
      <c r="D148" s="27"/>
      <c r="E148" s="27"/>
      <c r="F148" s="28"/>
      <c r="G148" s="27"/>
      <c r="H148" s="548"/>
      <c r="I148" s="27"/>
      <c r="J148" s="738"/>
      <c r="K148" s="635"/>
      <c r="L148" s="635"/>
      <c r="M148" s="635"/>
      <c r="N148" s="635"/>
      <c r="O148" s="636"/>
      <c r="P148" s="635"/>
      <c r="Q148" s="636"/>
      <c r="R148" s="636"/>
      <c r="S148" s="635"/>
      <c r="T148" s="707"/>
      <c r="U148" s="707"/>
      <c r="V148" s="707"/>
      <c r="W148" s="636"/>
      <c r="X148" s="636"/>
      <c r="Y148" s="707"/>
      <c r="Z148" s="635"/>
      <c r="AA148" s="707"/>
      <c r="AB148" s="707"/>
    </row>
    <row r="149" spans="1:28" x14ac:dyDescent="0.25">
      <c r="A149" s="23"/>
      <c r="B149" s="24"/>
      <c r="C149" s="25"/>
      <c r="D149" s="27"/>
      <c r="E149" s="27"/>
      <c r="F149" s="28"/>
      <c r="G149" s="27"/>
      <c r="H149" s="548"/>
      <c r="I149" s="27"/>
      <c r="J149" s="738"/>
      <c r="K149" s="635"/>
      <c r="L149" s="635"/>
      <c r="M149" s="635"/>
      <c r="N149" s="635"/>
      <c r="O149" s="636"/>
      <c r="P149" s="635"/>
      <c r="Q149" s="636"/>
      <c r="R149" s="636"/>
      <c r="S149" s="635"/>
      <c r="T149" s="707"/>
      <c r="U149" s="707"/>
      <c r="V149" s="707"/>
      <c r="W149" s="636"/>
      <c r="X149" s="636"/>
      <c r="Y149" s="707"/>
      <c r="Z149" s="635"/>
      <c r="AA149" s="707"/>
      <c r="AB149" s="707"/>
    </row>
    <row r="150" spans="1:28" x14ac:dyDescent="0.25">
      <c r="A150" s="23"/>
      <c r="B150" s="24"/>
      <c r="C150" s="25"/>
      <c r="D150" s="27"/>
      <c r="E150" s="27"/>
      <c r="F150" s="28"/>
      <c r="G150" s="27"/>
      <c r="H150" s="548"/>
      <c r="I150" s="27"/>
      <c r="J150" s="738"/>
      <c r="K150" s="635"/>
      <c r="L150" s="635"/>
      <c r="M150" s="635"/>
      <c r="N150" s="635"/>
      <c r="O150" s="636"/>
      <c r="P150" s="635"/>
      <c r="Q150" s="636"/>
      <c r="R150" s="636"/>
      <c r="S150" s="635"/>
      <c r="T150" s="707"/>
      <c r="U150" s="707"/>
      <c r="V150" s="707"/>
      <c r="W150" s="636"/>
      <c r="X150" s="636"/>
      <c r="Y150" s="707"/>
      <c r="Z150" s="635"/>
      <c r="AA150" s="707"/>
      <c r="AB150" s="707"/>
    </row>
    <row r="151" spans="1:28" x14ac:dyDescent="0.25">
      <c r="A151" s="23"/>
      <c r="B151" s="24"/>
      <c r="C151" s="25"/>
      <c r="D151" s="27"/>
      <c r="E151" s="27"/>
      <c r="F151" s="28"/>
      <c r="G151" s="27"/>
      <c r="H151" s="548"/>
      <c r="I151" s="27"/>
      <c r="J151" s="738"/>
      <c r="K151" s="635"/>
      <c r="L151" s="635"/>
      <c r="M151" s="635"/>
      <c r="N151" s="635"/>
      <c r="O151" s="636"/>
      <c r="P151" s="635"/>
      <c r="Q151" s="636"/>
      <c r="R151" s="636"/>
      <c r="S151" s="635"/>
      <c r="T151" s="707"/>
      <c r="U151" s="707"/>
      <c r="V151" s="707"/>
      <c r="W151" s="636"/>
      <c r="X151" s="636"/>
      <c r="Y151" s="707"/>
      <c r="Z151" s="635"/>
      <c r="AA151" s="707"/>
      <c r="AB151" s="707"/>
    </row>
    <row r="152" spans="1:28" x14ac:dyDescent="0.25">
      <c r="A152" s="23"/>
      <c r="B152" s="24"/>
      <c r="C152" s="25"/>
      <c r="D152" s="27"/>
      <c r="E152" s="27"/>
      <c r="F152" s="28"/>
      <c r="G152" s="27"/>
      <c r="H152" s="548"/>
      <c r="I152" s="27"/>
      <c r="J152" s="738"/>
      <c r="K152" s="635"/>
      <c r="L152" s="635"/>
      <c r="M152" s="635"/>
      <c r="N152" s="635"/>
      <c r="O152" s="636"/>
      <c r="P152" s="635"/>
      <c r="Q152" s="636"/>
      <c r="R152" s="636"/>
      <c r="S152" s="635"/>
      <c r="T152" s="707"/>
      <c r="U152" s="707"/>
      <c r="V152" s="707"/>
      <c r="W152" s="636"/>
      <c r="X152" s="636"/>
      <c r="Y152" s="707"/>
      <c r="Z152" s="635"/>
      <c r="AA152" s="707"/>
      <c r="AB152" s="707"/>
    </row>
    <row r="153" spans="1:28" x14ac:dyDescent="0.25">
      <c r="A153" s="23"/>
      <c r="B153" s="24"/>
      <c r="C153" s="25"/>
      <c r="D153" s="27"/>
      <c r="E153" s="27"/>
      <c r="F153" s="28"/>
      <c r="G153" s="27"/>
      <c r="H153" s="548"/>
      <c r="I153" s="27"/>
      <c r="J153" s="738"/>
      <c r="K153" s="635"/>
      <c r="L153" s="635"/>
      <c r="M153" s="635"/>
      <c r="N153" s="635"/>
      <c r="O153" s="636"/>
      <c r="P153" s="635"/>
      <c r="Q153" s="636"/>
      <c r="R153" s="636"/>
      <c r="S153" s="635"/>
      <c r="T153" s="707"/>
      <c r="U153" s="707"/>
      <c r="V153" s="707"/>
      <c r="W153" s="636"/>
      <c r="X153" s="636"/>
      <c r="Y153" s="707"/>
      <c r="Z153" s="635"/>
      <c r="AA153" s="707"/>
      <c r="AB153" s="707"/>
    </row>
    <row r="154" spans="1:28" x14ac:dyDescent="0.25">
      <c r="A154" s="23"/>
      <c r="B154" s="24"/>
      <c r="C154" s="25"/>
      <c r="D154" s="27"/>
      <c r="E154" s="27"/>
      <c r="F154" s="28"/>
      <c r="G154" s="27"/>
      <c r="H154" s="548"/>
      <c r="I154" s="27"/>
      <c r="J154" s="738"/>
      <c r="K154" s="635"/>
      <c r="L154" s="635"/>
      <c r="M154" s="635"/>
      <c r="N154" s="635"/>
      <c r="O154" s="636"/>
      <c r="P154" s="635"/>
      <c r="Q154" s="636"/>
      <c r="R154" s="636"/>
      <c r="S154" s="635"/>
      <c r="T154" s="707"/>
      <c r="U154" s="707"/>
      <c r="V154" s="707"/>
      <c r="W154" s="636"/>
      <c r="X154" s="636"/>
      <c r="Y154" s="707"/>
      <c r="Z154" s="635"/>
      <c r="AA154" s="707"/>
      <c r="AB154" s="707"/>
    </row>
    <row r="155" spans="1:28" x14ac:dyDescent="0.25">
      <c r="A155" s="23"/>
      <c r="B155" s="24"/>
      <c r="C155" s="25"/>
      <c r="D155" s="27"/>
      <c r="E155" s="27"/>
      <c r="F155" s="28"/>
      <c r="G155" s="27"/>
      <c r="H155" s="548"/>
      <c r="I155" s="27"/>
      <c r="J155" s="738"/>
      <c r="K155" s="635"/>
      <c r="L155" s="635"/>
      <c r="M155" s="635"/>
      <c r="N155" s="635"/>
      <c r="O155" s="636"/>
      <c r="P155" s="635"/>
      <c r="Q155" s="636"/>
      <c r="R155" s="636"/>
      <c r="S155" s="635"/>
      <c r="T155" s="707"/>
      <c r="U155" s="707"/>
      <c r="V155" s="707"/>
      <c r="W155" s="636"/>
      <c r="X155" s="636"/>
      <c r="Y155" s="707"/>
      <c r="Z155" s="635"/>
      <c r="AA155" s="707"/>
      <c r="AB155" s="707"/>
    </row>
    <row r="156" spans="1:28" x14ac:dyDescent="0.25">
      <c r="A156" s="23"/>
      <c r="B156" s="24"/>
      <c r="C156" s="25"/>
      <c r="D156" s="27"/>
      <c r="E156" s="27"/>
      <c r="F156" s="28"/>
      <c r="G156" s="27"/>
      <c r="H156" s="548"/>
      <c r="I156" s="27"/>
      <c r="J156" s="738"/>
      <c r="K156" s="635"/>
      <c r="L156" s="635"/>
      <c r="M156" s="635"/>
      <c r="N156" s="635"/>
      <c r="O156" s="636"/>
      <c r="P156" s="635"/>
      <c r="Q156" s="636"/>
      <c r="R156" s="636"/>
      <c r="S156" s="635"/>
      <c r="T156" s="707"/>
      <c r="U156" s="707"/>
      <c r="V156" s="707"/>
      <c r="W156" s="636"/>
      <c r="X156" s="636"/>
      <c r="Y156" s="707"/>
      <c r="Z156" s="635"/>
      <c r="AA156" s="707"/>
      <c r="AB156" s="707"/>
    </row>
    <row r="157" spans="1:28" x14ac:dyDescent="0.25">
      <c r="A157" s="23"/>
      <c r="B157" s="24"/>
      <c r="C157" s="25"/>
      <c r="D157" s="27"/>
      <c r="E157" s="27"/>
      <c r="F157" s="28"/>
      <c r="G157" s="27"/>
      <c r="H157" s="180"/>
      <c r="I157" s="27"/>
      <c r="J157" s="738"/>
      <c r="K157" s="635"/>
      <c r="L157" s="635"/>
      <c r="M157" s="635"/>
      <c r="N157" s="635"/>
      <c r="O157" s="636"/>
      <c r="P157" s="635"/>
      <c r="Q157" s="636"/>
      <c r="R157" s="636"/>
      <c r="S157" s="635"/>
      <c r="T157" s="707"/>
      <c r="U157" s="707"/>
      <c r="V157" s="707"/>
      <c r="W157" s="636"/>
      <c r="X157" s="636"/>
      <c r="Y157" s="707"/>
      <c r="Z157" s="635"/>
      <c r="AA157" s="707"/>
      <c r="AB157" s="707"/>
    </row>
    <row r="158" spans="1:28" x14ac:dyDescent="0.25">
      <c r="A158" s="23"/>
      <c r="B158" s="24"/>
      <c r="C158" s="25"/>
      <c r="D158" s="27"/>
      <c r="E158" s="27"/>
      <c r="F158" s="28"/>
      <c r="G158" s="27"/>
      <c r="H158" s="180"/>
      <c r="I158" s="27"/>
      <c r="J158" s="738"/>
      <c r="K158" s="635"/>
      <c r="L158" s="635"/>
      <c r="M158" s="635"/>
      <c r="N158" s="635"/>
      <c r="O158" s="636"/>
      <c r="P158" s="635"/>
      <c r="Q158" s="636"/>
      <c r="R158" s="636"/>
      <c r="S158" s="635"/>
      <c r="T158" s="707"/>
      <c r="U158" s="707"/>
      <c r="V158" s="707"/>
      <c r="W158" s="636"/>
      <c r="X158" s="636"/>
      <c r="Y158" s="707"/>
      <c r="Z158" s="635"/>
      <c r="AA158" s="707"/>
      <c r="AB158" s="707"/>
    </row>
    <row r="159" spans="1:28" x14ac:dyDescent="0.25">
      <c r="A159" s="23"/>
      <c r="B159" s="24"/>
      <c r="C159" s="25"/>
      <c r="D159" s="27"/>
      <c r="E159" s="27"/>
      <c r="F159" s="28"/>
      <c r="G159" s="27"/>
      <c r="H159" s="180"/>
      <c r="I159" s="27"/>
      <c r="J159" s="738"/>
      <c r="K159" s="635"/>
      <c r="L159" s="635"/>
      <c r="M159" s="635"/>
      <c r="N159" s="635"/>
      <c r="O159" s="636"/>
      <c r="P159" s="635"/>
      <c r="Q159" s="636"/>
      <c r="R159" s="636"/>
      <c r="S159" s="635"/>
      <c r="T159" s="707"/>
      <c r="U159" s="707"/>
      <c r="V159" s="707"/>
      <c r="W159" s="636"/>
      <c r="X159" s="636"/>
      <c r="Y159" s="707"/>
      <c r="Z159" s="635"/>
      <c r="AA159" s="707"/>
      <c r="AB159" s="707"/>
    </row>
    <row r="160" spans="1:28" x14ac:dyDescent="0.25">
      <c r="A160" s="23"/>
      <c r="B160" s="24"/>
      <c r="C160" s="25"/>
      <c r="D160" s="27"/>
      <c r="E160" s="27"/>
      <c r="F160" s="28"/>
      <c r="G160" s="27"/>
      <c r="H160" s="180"/>
      <c r="I160" s="27"/>
      <c r="J160" s="738"/>
      <c r="K160" s="635"/>
      <c r="L160" s="635"/>
      <c r="M160" s="635"/>
      <c r="N160" s="635"/>
      <c r="O160" s="636"/>
      <c r="P160" s="635"/>
      <c r="Q160" s="636"/>
      <c r="R160" s="636"/>
      <c r="S160" s="635"/>
      <c r="T160" s="707"/>
      <c r="U160" s="707"/>
      <c r="V160" s="707"/>
      <c r="W160" s="636"/>
      <c r="X160" s="636"/>
      <c r="Y160" s="707"/>
      <c r="Z160" s="635"/>
      <c r="AA160" s="707"/>
      <c r="AB160" s="707"/>
    </row>
    <row r="161" spans="1:28" x14ac:dyDescent="0.25">
      <c r="A161" s="23"/>
      <c r="B161" s="24"/>
      <c r="C161" s="25"/>
      <c r="D161" s="27"/>
      <c r="E161" s="27"/>
      <c r="F161" s="28"/>
      <c r="G161" s="27"/>
      <c r="H161" s="180"/>
      <c r="I161" s="27"/>
      <c r="J161" s="738"/>
      <c r="K161" s="635"/>
      <c r="L161" s="635"/>
      <c r="M161" s="635"/>
      <c r="N161" s="635"/>
      <c r="O161" s="636"/>
      <c r="P161" s="635"/>
      <c r="Q161" s="636"/>
      <c r="R161" s="636"/>
      <c r="S161" s="635"/>
      <c r="T161" s="707"/>
      <c r="U161" s="707"/>
      <c r="V161" s="707"/>
      <c r="W161" s="636"/>
      <c r="X161" s="636"/>
      <c r="Y161" s="707"/>
      <c r="Z161" s="635"/>
      <c r="AA161" s="707"/>
      <c r="AB161" s="707"/>
    </row>
    <row r="162" spans="1:28" x14ac:dyDescent="0.25">
      <c r="A162" s="23"/>
      <c r="B162" s="24"/>
      <c r="C162" s="25"/>
      <c r="D162" s="27"/>
      <c r="E162" s="27"/>
      <c r="F162" s="28"/>
      <c r="G162" s="27"/>
      <c r="H162" s="180"/>
      <c r="I162" s="27"/>
      <c r="J162" s="738"/>
      <c r="K162" s="635"/>
      <c r="L162" s="635"/>
      <c r="M162" s="635"/>
      <c r="N162" s="635"/>
      <c r="O162" s="636"/>
      <c r="P162" s="635"/>
      <c r="Q162" s="636"/>
      <c r="R162" s="636"/>
      <c r="S162" s="635"/>
      <c r="T162" s="707"/>
      <c r="U162" s="707"/>
      <c r="V162" s="707"/>
      <c r="W162" s="636"/>
      <c r="X162" s="636"/>
      <c r="Y162" s="707"/>
      <c r="Z162" s="635"/>
      <c r="AA162" s="707"/>
      <c r="AB162" s="707"/>
    </row>
    <row r="163" spans="1:28" x14ac:dyDescent="0.25">
      <c r="A163" s="23"/>
      <c r="B163" s="24"/>
      <c r="C163" s="25"/>
      <c r="D163" s="27"/>
      <c r="E163" s="27"/>
      <c r="F163" s="28"/>
      <c r="G163" s="27"/>
      <c r="H163" s="180"/>
      <c r="I163" s="27"/>
      <c r="J163" s="738"/>
      <c r="K163" s="635"/>
      <c r="L163" s="635"/>
      <c r="M163" s="635"/>
      <c r="N163" s="635"/>
      <c r="O163" s="636"/>
      <c r="P163" s="635"/>
      <c r="Q163" s="636"/>
      <c r="R163" s="636"/>
      <c r="S163" s="635"/>
      <c r="T163" s="707"/>
      <c r="U163" s="707"/>
      <c r="V163" s="707"/>
      <c r="W163" s="636"/>
      <c r="X163" s="636"/>
      <c r="Y163" s="707"/>
      <c r="Z163" s="635"/>
      <c r="AA163" s="707"/>
      <c r="AB163" s="707"/>
    </row>
    <row r="164" spans="1:28" x14ac:dyDescent="0.25">
      <c r="A164" s="23"/>
      <c r="B164" s="24"/>
      <c r="C164" s="25"/>
      <c r="D164" s="27"/>
      <c r="E164" s="27"/>
      <c r="F164" s="28"/>
      <c r="G164" s="27"/>
      <c r="H164" s="180"/>
      <c r="I164" s="27"/>
      <c r="J164" s="738"/>
      <c r="K164" s="635"/>
      <c r="L164" s="635"/>
      <c r="M164" s="635"/>
      <c r="N164" s="635"/>
      <c r="O164" s="636"/>
      <c r="P164" s="635"/>
      <c r="Q164" s="636"/>
      <c r="R164" s="636"/>
      <c r="S164" s="635"/>
      <c r="T164" s="707"/>
      <c r="U164" s="707"/>
      <c r="V164" s="707"/>
      <c r="W164" s="636"/>
      <c r="X164" s="636"/>
      <c r="Y164" s="707"/>
      <c r="Z164" s="635"/>
      <c r="AA164" s="707"/>
      <c r="AB164" s="707"/>
    </row>
    <row r="165" spans="1:28" x14ac:dyDescent="0.25">
      <c r="A165" s="23"/>
      <c r="B165" s="24"/>
      <c r="C165" s="25"/>
      <c r="D165" s="27"/>
      <c r="E165" s="27"/>
      <c r="F165" s="28"/>
      <c r="G165" s="27"/>
      <c r="H165" s="180"/>
      <c r="I165" s="27"/>
      <c r="J165" s="738"/>
      <c r="K165" s="635"/>
      <c r="L165" s="635"/>
      <c r="M165" s="635"/>
      <c r="N165" s="635"/>
      <c r="O165" s="636"/>
      <c r="P165" s="635"/>
      <c r="Q165" s="636"/>
      <c r="R165" s="636"/>
      <c r="S165" s="635"/>
      <c r="T165" s="707"/>
      <c r="U165" s="707"/>
      <c r="V165" s="707"/>
      <c r="W165" s="636"/>
      <c r="X165" s="636"/>
      <c r="Y165" s="707"/>
      <c r="Z165" s="635"/>
      <c r="AA165" s="707"/>
      <c r="AB165" s="707"/>
    </row>
    <row r="166" spans="1:28" x14ac:dyDescent="0.25">
      <c r="A166" s="23"/>
      <c r="B166" s="24"/>
      <c r="C166" s="25"/>
      <c r="D166" s="27"/>
      <c r="E166" s="27"/>
      <c r="F166" s="28"/>
      <c r="G166" s="27"/>
      <c r="H166" s="180"/>
      <c r="I166" s="27"/>
      <c r="J166" s="738"/>
      <c r="K166" s="635"/>
      <c r="L166" s="635"/>
      <c r="M166" s="635"/>
      <c r="N166" s="635"/>
      <c r="O166" s="636"/>
      <c r="P166" s="635"/>
      <c r="Q166" s="636"/>
      <c r="R166" s="636"/>
      <c r="S166" s="635"/>
      <c r="T166" s="707"/>
      <c r="U166" s="707"/>
      <c r="V166" s="707"/>
      <c r="W166" s="636"/>
      <c r="X166" s="636"/>
      <c r="Y166" s="707"/>
      <c r="Z166" s="635"/>
      <c r="AA166" s="707"/>
      <c r="AB166" s="707"/>
    </row>
    <row r="167" spans="1:28" x14ac:dyDescent="0.25">
      <c r="A167" s="23"/>
      <c r="B167" s="24"/>
      <c r="C167" s="25"/>
      <c r="D167" s="27"/>
      <c r="E167" s="27"/>
      <c r="F167" s="28"/>
      <c r="G167" s="27"/>
      <c r="H167" s="180"/>
      <c r="I167" s="27"/>
      <c r="J167" s="738"/>
      <c r="K167" s="635"/>
      <c r="L167" s="635"/>
      <c r="M167" s="635"/>
      <c r="N167" s="635"/>
      <c r="O167" s="636"/>
      <c r="P167" s="635"/>
      <c r="Q167" s="636"/>
      <c r="R167" s="636"/>
      <c r="S167" s="635"/>
      <c r="T167" s="707"/>
      <c r="U167" s="707"/>
      <c r="V167" s="707"/>
      <c r="W167" s="636"/>
      <c r="X167" s="636"/>
      <c r="Y167" s="707"/>
      <c r="Z167" s="635"/>
      <c r="AA167" s="707"/>
      <c r="AB167" s="707"/>
    </row>
    <row r="168" spans="1:28" x14ac:dyDescent="0.25">
      <c r="A168" s="23"/>
      <c r="B168" s="24"/>
      <c r="C168" s="25"/>
      <c r="D168" s="27"/>
      <c r="E168" s="27"/>
      <c r="F168" s="28"/>
      <c r="G168" s="27"/>
      <c r="H168" s="180"/>
      <c r="I168" s="27"/>
      <c r="J168" s="738"/>
      <c r="K168" s="635"/>
      <c r="L168" s="635"/>
      <c r="M168" s="635"/>
      <c r="N168" s="635"/>
      <c r="O168" s="636"/>
      <c r="P168" s="635"/>
      <c r="Q168" s="636"/>
      <c r="R168" s="636"/>
      <c r="S168" s="635"/>
      <c r="T168" s="707"/>
      <c r="U168" s="707"/>
      <c r="V168" s="707"/>
      <c r="W168" s="636"/>
      <c r="X168" s="636"/>
      <c r="Y168" s="707"/>
      <c r="Z168" s="635"/>
      <c r="AA168" s="707"/>
      <c r="AB168" s="707"/>
    </row>
    <row r="169" spans="1:28" x14ac:dyDescent="0.25">
      <c r="A169" s="23"/>
      <c r="B169" s="24"/>
      <c r="C169" s="25"/>
      <c r="D169" s="27"/>
      <c r="E169" s="27"/>
      <c r="F169" s="28"/>
      <c r="G169" s="27"/>
      <c r="H169" s="180"/>
      <c r="I169" s="27"/>
      <c r="J169" s="738"/>
      <c r="K169" s="635"/>
      <c r="L169" s="635"/>
      <c r="M169" s="635"/>
      <c r="N169" s="635"/>
      <c r="O169" s="636"/>
      <c r="P169" s="635"/>
      <c r="Q169" s="636"/>
      <c r="R169" s="636"/>
      <c r="S169" s="635"/>
      <c r="T169" s="707"/>
      <c r="U169" s="707"/>
      <c r="V169" s="707"/>
      <c r="W169" s="636"/>
      <c r="X169" s="636"/>
      <c r="Y169" s="707"/>
      <c r="Z169" s="635"/>
      <c r="AA169" s="707"/>
      <c r="AB169" s="707"/>
    </row>
    <row r="170" spans="1:28" x14ac:dyDescent="0.25">
      <c r="A170" s="23"/>
      <c r="B170" s="24"/>
      <c r="C170" s="25"/>
      <c r="D170" s="27"/>
      <c r="E170" s="27"/>
      <c r="F170" s="28"/>
      <c r="G170" s="27"/>
      <c r="H170" s="180"/>
      <c r="I170" s="27"/>
      <c r="J170" s="738"/>
      <c r="K170" s="635"/>
      <c r="L170" s="635"/>
      <c r="M170" s="635"/>
      <c r="N170" s="635"/>
      <c r="O170" s="636"/>
      <c r="P170" s="635"/>
      <c r="Q170" s="636"/>
      <c r="R170" s="636"/>
      <c r="S170" s="635"/>
      <c r="T170" s="707"/>
      <c r="U170" s="707"/>
      <c r="V170" s="707"/>
      <c r="W170" s="636"/>
      <c r="X170" s="636"/>
      <c r="Y170" s="707"/>
      <c r="Z170" s="635"/>
      <c r="AA170" s="707"/>
      <c r="AB170" s="707"/>
    </row>
    <row r="171" spans="1:28" x14ac:dyDescent="0.25">
      <c r="A171" s="23"/>
      <c r="B171" s="24"/>
      <c r="C171" s="25"/>
      <c r="D171" s="27"/>
      <c r="E171" s="27"/>
      <c r="F171" s="28"/>
      <c r="G171" s="27"/>
      <c r="H171" s="180"/>
      <c r="I171" s="27"/>
      <c r="J171" s="738"/>
      <c r="K171" s="635"/>
      <c r="L171" s="635"/>
      <c r="M171" s="635"/>
      <c r="N171" s="635"/>
      <c r="O171" s="636"/>
      <c r="P171" s="635"/>
      <c r="Q171" s="636"/>
      <c r="R171" s="636"/>
      <c r="S171" s="635"/>
      <c r="T171" s="707"/>
      <c r="U171" s="707"/>
      <c r="V171" s="707"/>
      <c r="W171" s="636"/>
      <c r="X171" s="636"/>
      <c r="Y171" s="707"/>
      <c r="Z171" s="635"/>
      <c r="AA171" s="707"/>
      <c r="AB171" s="707"/>
    </row>
    <row r="172" spans="1:28" x14ac:dyDescent="0.25">
      <c r="A172" s="23"/>
      <c r="B172" s="24"/>
      <c r="C172" s="25"/>
      <c r="D172" s="27"/>
      <c r="E172" s="27"/>
      <c r="F172" s="28"/>
      <c r="G172" s="27"/>
      <c r="H172" s="180"/>
      <c r="I172" s="27"/>
      <c r="J172" s="738"/>
      <c r="K172" s="635"/>
      <c r="L172" s="635"/>
      <c r="M172" s="635"/>
      <c r="N172" s="635"/>
      <c r="O172" s="636"/>
      <c r="P172" s="635"/>
      <c r="Q172" s="636"/>
      <c r="R172" s="636"/>
      <c r="S172" s="635"/>
      <c r="T172" s="707"/>
      <c r="U172" s="707"/>
      <c r="V172" s="707"/>
      <c r="W172" s="636"/>
      <c r="X172" s="636"/>
      <c r="Y172" s="707"/>
      <c r="Z172" s="635"/>
      <c r="AA172" s="707"/>
      <c r="AB172" s="707"/>
    </row>
    <row r="173" spans="1:28" x14ac:dyDescent="0.25">
      <c r="A173" s="23"/>
      <c r="B173" s="24"/>
      <c r="C173" s="25"/>
      <c r="D173" s="27"/>
      <c r="E173" s="27"/>
      <c r="F173" s="28"/>
      <c r="G173" s="27"/>
      <c r="H173" s="180"/>
      <c r="I173" s="27"/>
      <c r="J173" s="738"/>
      <c r="K173" s="635"/>
      <c r="L173" s="635"/>
      <c r="M173" s="635"/>
      <c r="N173" s="635"/>
      <c r="O173" s="636"/>
      <c r="P173" s="635"/>
      <c r="Q173" s="636"/>
      <c r="R173" s="636"/>
      <c r="S173" s="635"/>
      <c r="T173" s="707"/>
      <c r="U173" s="707"/>
      <c r="V173" s="707"/>
      <c r="W173" s="636"/>
      <c r="X173" s="636"/>
      <c r="Y173" s="707"/>
      <c r="Z173" s="635"/>
      <c r="AA173" s="707"/>
      <c r="AB173" s="707"/>
    </row>
    <row r="174" spans="1:28" x14ac:dyDescent="0.25">
      <c r="A174" s="23"/>
      <c r="B174" s="24"/>
      <c r="C174" s="25"/>
      <c r="D174" s="27"/>
      <c r="E174" s="27"/>
      <c r="F174" s="28"/>
      <c r="G174" s="27"/>
      <c r="H174" s="180"/>
      <c r="I174" s="27"/>
      <c r="J174" s="738"/>
      <c r="K174" s="635"/>
      <c r="L174" s="635"/>
      <c r="M174" s="635"/>
      <c r="N174" s="635"/>
      <c r="O174" s="636"/>
      <c r="P174" s="635"/>
      <c r="Q174" s="636"/>
      <c r="R174" s="636"/>
      <c r="S174" s="635"/>
      <c r="T174" s="707"/>
      <c r="U174" s="707"/>
      <c r="V174" s="707"/>
      <c r="W174" s="636"/>
      <c r="X174" s="636"/>
      <c r="Y174" s="707"/>
      <c r="Z174" s="635"/>
      <c r="AA174" s="707"/>
      <c r="AB174" s="707"/>
    </row>
    <row r="175" spans="1:28" x14ac:dyDescent="0.25">
      <c r="A175" s="23"/>
      <c r="B175" s="24"/>
      <c r="C175" s="25"/>
      <c r="D175" s="27"/>
      <c r="E175" s="27"/>
      <c r="F175" s="28"/>
      <c r="G175" s="27"/>
      <c r="H175" s="180"/>
      <c r="I175" s="27"/>
      <c r="J175" s="738"/>
      <c r="K175" s="635"/>
      <c r="L175" s="635"/>
      <c r="M175" s="635"/>
      <c r="N175" s="635"/>
      <c r="O175" s="636"/>
      <c r="P175" s="635"/>
      <c r="Q175" s="636"/>
      <c r="R175" s="636"/>
      <c r="S175" s="635"/>
      <c r="T175" s="707"/>
      <c r="U175" s="707"/>
      <c r="V175" s="707"/>
      <c r="W175" s="636"/>
      <c r="X175" s="636"/>
      <c r="Y175" s="707"/>
      <c r="Z175" s="635"/>
      <c r="AA175" s="707"/>
      <c r="AB175" s="707"/>
    </row>
    <row r="176" spans="1:28" x14ac:dyDescent="0.25">
      <c r="A176" s="23"/>
      <c r="B176" s="24"/>
      <c r="C176" s="25"/>
      <c r="D176" s="27"/>
      <c r="E176" s="27"/>
      <c r="F176" s="28"/>
      <c r="G176" s="27"/>
      <c r="H176" s="180"/>
      <c r="I176" s="27"/>
      <c r="J176" s="738"/>
      <c r="K176" s="635"/>
      <c r="L176" s="635"/>
      <c r="M176" s="635"/>
      <c r="N176" s="635"/>
      <c r="O176" s="636"/>
      <c r="P176" s="635"/>
      <c r="Q176" s="636"/>
      <c r="R176" s="636"/>
      <c r="S176" s="635"/>
      <c r="T176" s="707"/>
      <c r="U176" s="707"/>
      <c r="V176" s="707"/>
      <c r="W176" s="636"/>
      <c r="X176" s="636"/>
      <c r="Y176" s="707"/>
      <c r="Z176" s="635"/>
      <c r="AA176" s="707"/>
      <c r="AB176" s="707"/>
    </row>
    <row r="177" spans="1:28" x14ac:dyDescent="0.25">
      <c r="A177" s="23"/>
      <c r="B177" s="24"/>
      <c r="C177" s="25"/>
      <c r="D177" s="27"/>
      <c r="E177" s="27"/>
      <c r="F177" s="28"/>
      <c r="G177" s="27"/>
      <c r="H177" s="180"/>
      <c r="I177" s="27"/>
      <c r="J177" s="738"/>
      <c r="K177" s="635"/>
      <c r="L177" s="635"/>
      <c r="M177" s="635"/>
      <c r="N177" s="635"/>
      <c r="O177" s="636"/>
      <c r="P177" s="635"/>
      <c r="Q177" s="636"/>
      <c r="R177" s="636"/>
      <c r="S177" s="635"/>
      <c r="T177" s="707"/>
      <c r="U177" s="707"/>
      <c r="V177" s="707"/>
      <c r="W177" s="636"/>
      <c r="X177" s="636"/>
      <c r="Y177" s="707"/>
      <c r="Z177" s="635"/>
      <c r="AA177" s="707"/>
      <c r="AB177" s="707"/>
    </row>
    <row r="178" spans="1:28" x14ac:dyDescent="0.25">
      <c r="A178" s="23"/>
      <c r="B178" s="24"/>
      <c r="C178" s="25"/>
      <c r="D178" s="27"/>
      <c r="E178" s="27"/>
      <c r="F178" s="28"/>
      <c r="G178" s="27"/>
      <c r="H178" s="180"/>
      <c r="I178" s="27"/>
      <c r="J178" s="738"/>
      <c r="K178" s="635"/>
      <c r="L178" s="635"/>
      <c r="M178" s="635"/>
      <c r="N178" s="635"/>
      <c r="O178" s="636"/>
      <c r="P178" s="635"/>
      <c r="Q178" s="636"/>
      <c r="R178" s="636"/>
      <c r="S178" s="635"/>
      <c r="T178" s="707"/>
      <c r="U178" s="707"/>
      <c r="V178" s="707"/>
      <c r="W178" s="636"/>
      <c r="X178" s="636"/>
      <c r="Y178" s="707"/>
      <c r="Z178" s="635"/>
      <c r="AA178" s="707"/>
      <c r="AB178" s="707"/>
    </row>
    <row r="179" spans="1:28" x14ac:dyDescent="0.25">
      <c r="A179" s="23"/>
      <c r="B179" s="24"/>
      <c r="C179" s="25"/>
      <c r="D179" s="27"/>
      <c r="E179" s="27"/>
      <c r="F179" s="28"/>
      <c r="G179" s="27"/>
      <c r="H179" s="180"/>
      <c r="I179" s="27"/>
      <c r="J179" s="738"/>
      <c r="K179" s="635"/>
      <c r="L179" s="635"/>
      <c r="M179" s="635"/>
      <c r="N179" s="635"/>
      <c r="O179" s="636"/>
      <c r="P179" s="635"/>
      <c r="Q179" s="636"/>
      <c r="R179" s="636"/>
      <c r="S179" s="635"/>
      <c r="T179" s="707"/>
      <c r="U179" s="707"/>
      <c r="V179" s="707"/>
      <c r="W179" s="636"/>
      <c r="X179" s="636"/>
      <c r="Y179" s="707"/>
      <c r="Z179" s="635"/>
      <c r="AA179" s="707"/>
      <c r="AB179" s="707"/>
    </row>
    <row r="180" spans="1:28" x14ac:dyDescent="0.25">
      <c r="A180" s="23"/>
      <c r="B180" s="24"/>
      <c r="C180" s="25"/>
      <c r="D180" s="27"/>
      <c r="E180" s="27"/>
      <c r="F180" s="28"/>
      <c r="G180" s="27"/>
      <c r="H180" s="180"/>
      <c r="I180" s="27"/>
      <c r="J180" s="738"/>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8"/>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8"/>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8"/>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8"/>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8"/>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8"/>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8"/>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8"/>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8"/>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8"/>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8"/>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8"/>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8"/>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8"/>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8"/>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8"/>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8"/>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8"/>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8"/>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8"/>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8"/>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8"/>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8"/>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8"/>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8"/>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8"/>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8"/>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8"/>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8"/>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8"/>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8"/>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8"/>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8"/>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8"/>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8"/>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8"/>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8"/>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8"/>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8"/>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8"/>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8"/>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8"/>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8"/>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8"/>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8"/>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8"/>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8"/>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8"/>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8"/>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8"/>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8"/>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8"/>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8"/>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8"/>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8"/>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8"/>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8"/>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8"/>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8"/>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8"/>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8"/>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8"/>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8"/>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8"/>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8"/>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8"/>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8"/>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8"/>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8"/>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8"/>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8"/>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8"/>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8"/>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8"/>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8"/>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8"/>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8"/>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8"/>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8"/>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8"/>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8"/>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8"/>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8"/>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8"/>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8"/>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8"/>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8"/>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8"/>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8"/>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8"/>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8"/>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8"/>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8"/>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8"/>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8"/>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8"/>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8"/>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8"/>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8"/>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8"/>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8"/>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8"/>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8"/>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8"/>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8"/>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8"/>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8"/>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8"/>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8"/>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8"/>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8"/>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8"/>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8"/>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8"/>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8"/>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8"/>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8"/>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8"/>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8"/>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8"/>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8"/>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8"/>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8"/>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8"/>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8"/>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8"/>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8"/>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8"/>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8"/>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8"/>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8"/>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8"/>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8"/>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8"/>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8"/>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8"/>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8"/>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8"/>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8"/>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8"/>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8"/>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8"/>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8"/>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8"/>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8"/>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8"/>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8"/>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8"/>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8"/>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8"/>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8"/>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8"/>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8"/>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8"/>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8"/>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8"/>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8"/>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8"/>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8"/>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8"/>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8"/>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8"/>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8"/>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8"/>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8"/>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8"/>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8"/>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8"/>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8"/>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8"/>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8"/>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8"/>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8"/>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8"/>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8"/>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8"/>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8"/>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8"/>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8"/>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8"/>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8"/>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8"/>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8"/>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8"/>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8"/>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8"/>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8"/>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8"/>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8"/>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8"/>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8"/>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8"/>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8"/>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8"/>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8"/>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8"/>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8"/>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8"/>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8"/>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8"/>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8"/>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8"/>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8"/>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8"/>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8"/>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8"/>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8"/>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8"/>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8"/>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8"/>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8"/>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8"/>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8"/>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8"/>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8"/>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8"/>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8"/>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8"/>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8"/>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8"/>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8"/>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8"/>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8"/>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8"/>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8"/>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8"/>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8"/>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8"/>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8"/>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8"/>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8"/>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8"/>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8"/>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8"/>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8"/>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8"/>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8"/>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8"/>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8"/>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8"/>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8"/>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8"/>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8"/>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8"/>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8"/>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8"/>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8"/>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8"/>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8"/>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8"/>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8"/>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8"/>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8"/>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8"/>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8"/>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8"/>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8"/>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8"/>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8"/>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8"/>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8"/>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8"/>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8"/>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8"/>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8"/>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8"/>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8"/>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8"/>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8"/>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8"/>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8"/>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8"/>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8"/>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8"/>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8"/>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8"/>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8"/>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8"/>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8"/>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8"/>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8"/>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8"/>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8"/>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8"/>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8"/>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8"/>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8"/>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8"/>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8"/>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8"/>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8"/>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8"/>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8"/>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8"/>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8"/>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8"/>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8"/>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8"/>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8"/>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8"/>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8"/>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8"/>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8"/>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8"/>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8"/>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8"/>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8"/>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8"/>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8"/>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8"/>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8"/>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8"/>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8"/>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8"/>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8"/>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8"/>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8"/>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8"/>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8"/>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8"/>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8"/>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8"/>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8"/>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8"/>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8"/>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8"/>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8"/>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8"/>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8"/>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8"/>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8"/>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8"/>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8"/>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8"/>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8"/>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8"/>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8"/>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8"/>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8"/>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8"/>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8"/>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8"/>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8"/>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8"/>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8"/>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8"/>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8"/>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8"/>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8"/>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8"/>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8"/>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8"/>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8"/>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8"/>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8"/>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8"/>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8"/>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8"/>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8"/>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8"/>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8"/>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8"/>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8"/>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8"/>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8"/>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8"/>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8"/>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8"/>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8"/>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8"/>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8"/>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8"/>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8"/>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8"/>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8"/>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8"/>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8"/>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8"/>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8"/>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8"/>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8"/>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8"/>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8"/>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8"/>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8"/>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8"/>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8"/>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8"/>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8"/>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8"/>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8"/>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8"/>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8"/>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8"/>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8"/>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8"/>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8"/>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8"/>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8"/>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8"/>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8"/>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8"/>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8"/>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8"/>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8"/>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8"/>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8"/>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8"/>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8"/>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8"/>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8"/>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8"/>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8"/>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8"/>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8"/>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8"/>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8"/>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8"/>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8"/>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8"/>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8"/>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8"/>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8"/>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8"/>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8"/>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8"/>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8"/>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8"/>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8"/>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8"/>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8"/>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8"/>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8"/>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8"/>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8"/>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8"/>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8"/>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8"/>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8"/>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8"/>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8"/>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8"/>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8"/>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8"/>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8"/>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8"/>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8"/>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8"/>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8"/>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8"/>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8"/>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8"/>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8"/>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8"/>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8"/>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8"/>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8"/>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8"/>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8"/>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8"/>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8"/>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8"/>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8"/>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8"/>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8"/>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8"/>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8"/>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8"/>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8"/>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8"/>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8"/>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8"/>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8"/>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8"/>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8"/>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8"/>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8"/>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8"/>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8"/>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8"/>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8"/>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8"/>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8"/>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8"/>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8"/>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8"/>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8"/>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8"/>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8"/>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8"/>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8"/>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8"/>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8"/>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8"/>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8"/>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8"/>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8"/>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8"/>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8"/>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8"/>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8"/>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8"/>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8"/>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8"/>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8"/>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8"/>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8"/>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8"/>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8"/>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8"/>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8"/>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8"/>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8"/>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8"/>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8"/>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8"/>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8"/>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8"/>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8"/>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8"/>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8"/>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8"/>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8"/>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8"/>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8"/>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8"/>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8"/>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8"/>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8"/>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8"/>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8"/>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8"/>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8"/>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8"/>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8"/>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8"/>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8"/>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8"/>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8"/>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8"/>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8"/>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8"/>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8"/>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8"/>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8"/>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8"/>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8"/>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8"/>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8"/>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8"/>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8"/>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8"/>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8"/>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8"/>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8"/>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8"/>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8"/>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8"/>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8"/>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8"/>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8"/>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8"/>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8"/>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8"/>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8"/>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8"/>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8"/>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8"/>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8"/>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8"/>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8"/>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8"/>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8"/>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8"/>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8"/>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8"/>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8"/>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8"/>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8"/>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8"/>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8"/>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8"/>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8"/>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8"/>
      <c r="K764" s="635"/>
      <c r="L764" s="635"/>
      <c r="M764" s="635"/>
      <c r="N764" s="635"/>
      <c r="O764" s="636"/>
      <c r="P764" s="635"/>
      <c r="Q764" s="636"/>
      <c r="R764" s="636"/>
      <c r="S764" s="635"/>
      <c r="T764" s="707"/>
      <c r="U764" s="707"/>
      <c r="V764" s="707"/>
      <c r="W764" s="636"/>
      <c r="X764" s="636"/>
      <c r="Y764" s="707"/>
      <c r="Z764" s="635"/>
      <c r="AA764" s="707"/>
      <c r="AB764" s="707"/>
    </row>
  </sheetData>
  <sheetProtection password="CA23"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topLeftCell="C1" workbookViewId="0">
      <selection activeCell="N14" sqref="N14:N18"/>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1117</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1087</v>
      </c>
      <c r="N3" s="634"/>
      <c r="R3" s="677" t="s">
        <v>1108</v>
      </c>
      <c r="S3" s="634"/>
    </row>
    <row r="4" spans="1:30" x14ac:dyDescent="0.25">
      <c r="A4" s="621" t="s">
        <v>35</v>
      </c>
      <c r="B4" s="622"/>
      <c r="C4" s="623">
        <f>Weather_Site!D6</f>
        <v>0</v>
      </c>
      <c r="L4" s="678" t="s">
        <v>1088</v>
      </c>
      <c r="M4" s="679"/>
      <c r="N4" s="680"/>
      <c r="O4" s="679"/>
      <c r="P4" s="418">
        <v>50</v>
      </c>
      <c r="R4" s="681" t="s">
        <v>1106</v>
      </c>
      <c r="S4" s="668"/>
      <c r="T4" s="682"/>
      <c r="U4" s="682"/>
      <c r="V4" s="682">
        <f>Weather_Site!K12</f>
        <v>110</v>
      </c>
      <c r="W4" s="683" t="s">
        <v>1109</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1107</v>
      </c>
      <c r="S5" s="668"/>
      <c r="T5" s="682"/>
      <c r="U5" s="682"/>
      <c r="V5" s="682">
        <f>Weather_Site!D7</f>
        <v>330</v>
      </c>
      <c r="W5" s="683" t="s">
        <v>1109</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1141</v>
      </c>
      <c r="M6" s="679"/>
      <c r="N6" s="684"/>
      <c r="O6" s="685"/>
      <c r="P6" s="418">
        <v>30</v>
      </c>
      <c r="R6" s="678" t="s">
        <v>1106</v>
      </c>
      <c r="S6" s="680"/>
      <c r="T6" s="679"/>
      <c r="U6" s="679"/>
      <c r="V6" s="418">
        <v>110</v>
      </c>
      <c r="W6" s="686" t="s">
        <v>1110</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1139</v>
      </c>
      <c r="M7" s="682"/>
      <c r="N7" s="688"/>
      <c r="O7" s="689"/>
      <c r="P7" s="690">
        <f>(0.488623-0.00334694*P4-0.00202058*P5)*((-0.001*P6+0.33)/0.33)</f>
        <v>0.20022454545454546</v>
      </c>
      <c r="R7" s="678" t="s">
        <v>1107</v>
      </c>
      <c r="S7" s="680"/>
      <c r="T7" s="679"/>
      <c r="U7" s="679"/>
      <c r="V7" s="418">
        <v>120</v>
      </c>
      <c r="W7" s="691" t="s">
        <v>1110</v>
      </c>
      <c r="X7" s="687"/>
    </row>
    <row r="8" spans="1:30" x14ac:dyDescent="0.25">
      <c r="A8" s="630" t="s">
        <v>210</v>
      </c>
      <c r="B8" s="631"/>
      <c r="C8" s="206">
        <v>50</v>
      </c>
      <c r="D8" s="207"/>
      <c r="E8" s="207"/>
      <c r="H8" s="632" t="s">
        <v>250</v>
      </c>
      <c r="I8" s="633" t="s">
        <v>256</v>
      </c>
      <c r="L8" s="681" t="s">
        <v>1089</v>
      </c>
      <c r="M8" s="682"/>
      <c r="N8" s="688"/>
      <c r="O8" s="689"/>
      <c r="P8" s="692">
        <f>1/P7</f>
        <v>4.9943926591508623</v>
      </c>
      <c r="R8" s="693" t="s">
        <v>1120</v>
      </c>
      <c r="S8" s="694"/>
      <c r="T8" s="694"/>
      <c r="U8" s="685"/>
      <c r="V8" s="418">
        <v>15</v>
      </c>
      <c r="W8" s="691" t="s">
        <v>1110</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1111</v>
      </c>
      <c r="S9" s="696">
        <f>(0.0046*$O$10^2-0.0079*$O$10-0.0175)*$V$6+(-0.9167*$O$10^2+1.5833*$O$10+13.5)</f>
        <v>4.8789999999999969</v>
      </c>
      <c r="T9" s="683" t="s">
        <v>1114</v>
      </c>
    </row>
    <row r="10" spans="1:30" x14ac:dyDescent="0.25">
      <c r="A10" s="697" t="s">
        <v>1091</v>
      </c>
      <c r="B10" s="631"/>
      <c r="C10" s="206">
        <v>2</v>
      </c>
      <c r="D10" s="207"/>
      <c r="E10" s="207"/>
      <c r="F10" s="634" t="s">
        <v>222</v>
      </c>
      <c r="H10" s="632" t="s">
        <v>252</v>
      </c>
      <c r="I10" s="633" t="s">
        <v>258</v>
      </c>
      <c r="L10" s="747" t="s">
        <v>1140</v>
      </c>
      <c r="M10" s="699"/>
      <c r="N10" s="700"/>
      <c r="O10" s="671">
        <v>5</v>
      </c>
      <c r="R10" s="681" t="s">
        <v>1112</v>
      </c>
      <c r="S10" s="668">
        <f>IF(OR($V$7&lt;90,$V$7&gt;225),0,IF($V$8&lt;10,0,(-0.000000002204*$V$7^4+0.000000995*$V$7^3+0.00006335*$V$7^2-0.04895*$V$7+1.8)))</f>
        <v>-1.8994214399999996</v>
      </c>
      <c r="T10" s="683" t="s">
        <v>1113</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1118</v>
      </c>
      <c r="P13" s="702" t="s">
        <v>1092</v>
      </c>
      <c r="Q13" s="669" t="s">
        <v>1115</v>
      </c>
      <c r="R13" s="669" t="s">
        <v>1116</v>
      </c>
      <c r="S13" s="669" t="s">
        <v>1119</v>
      </c>
      <c r="T13" s="669" t="s">
        <v>1103</v>
      </c>
      <c r="U13" s="669" t="s">
        <v>1097</v>
      </c>
      <c r="V13" s="669" t="s">
        <v>1098</v>
      </c>
      <c r="W13" s="669" t="s">
        <v>1099</v>
      </c>
      <c r="X13" s="669" t="s">
        <v>1101</v>
      </c>
      <c r="Y13" s="669" t="s">
        <v>1102</v>
      </c>
      <c r="Z13" s="669" t="s">
        <v>1100</v>
      </c>
      <c r="AA13" s="669" t="s">
        <v>1104</v>
      </c>
      <c r="AB13" s="669" t="s">
        <v>1105</v>
      </c>
      <c r="AC13" s="669" t="s">
        <v>45</v>
      </c>
    </row>
    <row r="14" spans="1:30" x14ac:dyDescent="0.25">
      <c r="A14" s="23" t="str">
        <f>Weather_Site!A12</f>
        <v>Mon</v>
      </c>
      <c r="B14" s="24">
        <f>Weather_Site!B12</f>
        <v>41281</v>
      </c>
      <c r="C14" s="25">
        <f>Weather_Site!C12</f>
        <v>0.20833333333333334</v>
      </c>
      <c r="D14" s="27">
        <f>Weather_Site!D12</f>
        <v>17.5</v>
      </c>
      <c r="E14" s="27">
        <f>Weather_Site!E12</f>
        <v>93.9</v>
      </c>
      <c r="F14" s="28">
        <f>Weather_Site!F12</f>
        <v>168</v>
      </c>
      <c r="G14" s="27">
        <f>Weather_Site!G12</f>
        <v>5</v>
      </c>
      <c r="H14" s="180">
        <f>C$4</f>
        <v>0</v>
      </c>
      <c r="I14" s="703">
        <f>G14/$O$10</f>
        <v>1</v>
      </c>
      <c r="J14" s="742">
        <f>IF(Weather_Site!M12&lt;180,Weather_Site!M12+180,Weather_Site!M12-180)</f>
        <v>348</v>
      </c>
      <c r="K14" s="635">
        <f>2.76+0.124*E14-0.0187*D14</f>
        <v>14.076350000000001</v>
      </c>
      <c r="L14" s="635">
        <f>3.6+0.169*E14-0.045*D14</f>
        <v>18.6816</v>
      </c>
      <c r="M14" s="635">
        <f>3.08+0.198*E14-0.0483*D14</f>
        <v>20.826950000000004</v>
      </c>
      <c r="N14" s="704">
        <f>IF(AND(OR(MONTH(B14)&gt;10,MONTH(B14)&lt;3),AND(HOUR(C14)&gt;=13,HOUR(C14)&lt;=17)),K14,IF(OR(HOUR(C14)&lt;8,HOUR(C14)&gt;=20),M14,L14))</f>
        <v>20.826950000000004</v>
      </c>
      <c r="O14" s="636">
        <f>IF(M14&lt;=4.1,1,IF(M14&gt;=24,0,(0.9082+0.1206*M14-0.03106*M14^2+0.001853*M14^3-0.00003467*M14^4)))</f>
        <v>0.1640335658713088</v>
      </c>
      <c r="P14" s="705">
        <f>IF($O$11,Weather_Site!H12,IF(0.191*(Weather_Site!K12+104)*(Weather_Site!J12+1)^1.5/(3.52*(Weather_Site!J12+1)^1.5+Weather_Site!I12-1)&gt;10, 10,0.191*(Weather_Site!K12+104)*(Weather_Site!J12+1)^1.5/(3.52*(Weather_Site!J12+1)^1.5+Weather_Site!I12-1)))</f>
        <v>9.6999999999999993</v>
      </c>
      <c r="Q14" s="743">
        <f t="shared" ref="Q14" si="0">P14*(MAX($S$9+$S$10,0)/10)</f>
        <v>2.8901912031999974</v>
      </c>
      <c r="R14" s="636">
        <f>1.008/(1+104.9*EXP(-0.9306*Q14))</f>
        <v>0.12408483763634416</v>
      </c>
      <c r="S14" s="636">
        <f t="shared" ref="S14" si="1">O14*R14</f>
        <v>2.0354078388051918E-2</v>
      </c>
      <c r="T14" s="635">
        <f t="shared" ref="T14" si="2">MIN(IF(H14&gt;0,2^(H14/10),(2^(-H14/10))/(2*(2^(-H14/10))-1)),4)</f>
        <v>1</v>
      </c>
      <c r="U14" s="706">
        <f>IF(I14&gt;2,(0.03+0.05024*(I14-1)^0.92628*(($E$6+$E$7)/10)^0.79928)*1000*S14*T14,0.03*S14*T14*1000)</f>
        <v>0.61062235164155754</v>
      </c>
      <c r="V14" s="707">
        <f>IF(I14&gt;2,(0.19591*(I14-1)^0.82569*(($E$6+$E$7)/10)^0.46722)*$C$10^0.495*1000*S14*T14,0.03*1000*S14*T14)</f>
        <v>0.61062235164155754</v>
      </c>
      <c r="W14" s="707">
        <f t="shared" ref="W14" si="3">(0.05235*(G14)^1.19128)*1000*S14*T14</f>
        <v>7.2483159465991385</v>
      </c>
      <c r="X14" s="708">
        <f>IF((E$6+E$7)&lt;1,0,1/(1+EXP(-(-23.9315+1.7033*I14+12.0822*S14+9.5236*($E$6+$E$7)))))</f>
        <v>1</v>
      </c>
      <c r="Y14" s="636">
        <f t="shared" ref="Y14" si="4">IF(V14&lt;300,0,1/(1+EXP(-(-32.3074+0.2951*G14+26.8734*S14))))</f>
        <v>0</v>
      </c>
      <c r="Z14" s="709">
        <f>IF(X14&lt;0.5,(U14*(1-X14)+V14*X14),(U14*(1-X14)+V14*X14*(1-Y14)+W14*Y14))</f>
        <v>0.61062235164155754</v>
      </c>
      <c r="AA14" s="635">
        <f>0.0193*Z14^0.723*EXP(0.64*$C$10)*1.07</f>
        <v>5.1993814907105688E-2</v>
      </c>
      <c r="AB14" s="709">
        <f t="shared" ref="AB14" si="5">(1/(0.2204*G14+1))*Z14</f>
        <v>0.29049588565250117</v>
      </c>
      <c r="AC14" s="638">
        <f>18600*Z14/3600*F$11/10</f>
        <v>10.095622880473751</v>
      </c>
    </row>
    <row r="15" spans="1:30" x14ac:dyDescent="0.25">
      <c r="A15" s="23" t="str">
        <f>Weather_Site!A13</f>
        <v>Mon</v>
      </c>
      <c r="B15" s="24">
        <f>Weather_Site!B13</f>
        <v>41281</v>
      </c>
      <c r="C15" s="25">
        <f>Weather_Site!C13</f>
        <v>0.25</v>
      </c>
      <c r="D15" s="27">
        <f>Weather_Site!D13</f>
        <v>17.5</v>
      </c>
      <c r="E15" s="27">
        <f>Weather_Site!E13</f>
        <v>94.5</v>
      </c>
      <c r="F15" s="28">
        <f>Weather_Site!F13</f>
        <v>166</v>
      </c>
      <c r="G15" s="27">
        <f>Weather_Site!G13</f>
        <v>3</v>
      </c>
      <c r="H15" s="180">
        <f t="shared" ref="H15:H18" si="6">C$4</f>
        <v>0</v>
      </c>
      <c r="I15" s="703">
        <f t="shared" ref="I15:I18" si="7">G15/$O$10</f>
        <v>0.6</v>
      </c>
      <c r="J15" s="742">
        <f>IF(Weather_Site!M13&lt;180,Weather_Site!M13+180,Weather_Site!M13-180)</f>
        <v>346</v>
      </c>
      <c r="K15" s="635">
        <f t="shared" ref="K15:K18" si="8">2.76+0.124*E15-0.0187*D15</f>
        <v>14.15075</v>
      </c>
      <c r="L15" s="635">
        <f t="shared" ref="L15:L18" si="9">3.6+0.169*E15-0.045*D15</f>
        <v>18.783000000000001</v>
      </c>
      <c r="M15" s="635">
        <f t="shared" ref="M15:M18" si="10">3.08+0.198*E15-0.0483*D15</f>
        <v>20.945750000000004</v>
      </c>
      <c r="N15" s="704">
        <f t="shared" ref="N15:N18" si="11">IF(AND(OR(MONTH(B15)&gt;10,MONTH(B15)&lt;3),AND(HOUR(C15)&gt;=13,HOUR(C15)&lt;=17)),K15,IF(OR(HOUR(C15)&lt;8,HOUR(C15)&gt;=20),M15,L15))</f>
        <v>20.945750000000004</v>
      </c>
      <c r="O15" s="636">
        <f t="shared" ref="O15:O18" si="12">IF(M15&lt;=4.1,1,IF(M15&gt;=24,0,(0.9082+0.1206*M15-0.03106*M15^2+0.001853*M15^3-0.00003467*M15^4)))</f>
        <v>0.16220593932268379</v>
      </c>
      <c r="P15" s="705">
        <f>IF($O$11,Weather_Site!H13,IF(0.191*(Weather_Site!K13+104)*(Weather_Site!J13+1)^1.5/(3.52*(Weather_Site!J13+1)^1.5+Weather_Site!I13-1)&gt;10, 10,0.191*(Weather_Site!K13+104)*(Weather_Site!J13+1)^1.5/(3.52*(Weather_Site!J13+1)^1.5+Weather_Site!I13-1)))</f>
        <v>9.6999999999999993</v>
      </c>
      <c r="Q15" s="743">
        <f t="shared" ref="Q15:Q18" si="13">P15*(MAX($S$9+$S$10,0)/10)</f>
        <v>2.8901912031999974</v>
      </c>
      <c r="R15" s="636">
        <f t="shared" ref="R15:R18" si="14">1.008/(1+104.9*EXP(-0.9306*Q15))</f>
        <v>0.12408483763634416</v>
      </c>
      <c r="S15" s="636">
        <f t="shared" ref="S15:S18" si="15">O15*R15</f>
        <v>2.0127297644505909E-2</v>
      </c>
      <c r="T15" s="635">
        <f t="shared" ref="T15:T18" si="16">MIN(IF(H15&gt;0,2^(H15/10),(2^(-H15/10))/(2*(2^(-H15/10))-1)),4)</f>
        <v>1</v>
      </c>
      <c r="U15" s="706">
        <f t="shared" ref="U15:U18" si="17">IF(I15&gt;2,(0.03+0.05024*(I15-1)^0.92628*(($E$6+$E$7)/10)^0.79928)*1000*S15*T15,0.03*S15*T15*1000)</f>
        <v>0.60381892933517722</v>
      </c>
      <c r="V15" s="707">
        <f t="shared" ref="V15:V18" si="18">IF(I15&gt;2,(0.19591*(I15-1)^0.82569*(($E$6+$E$7)/10)^0.46722)*$C$10^0.495*1000*S15*T15,0.03*1000*S15*T15)</f>
        <v>0.60381892933517722</v>
      </c>
      <c r="W15" s="707">
        <f t="shared" ref="W15:W18" si="19">(0.05235*(G15)^1.19128)*1000*S15*T15</f>
        <v>3.9002025630794126</v>
      </c>
      <c r="X15" s="708">
        <f t="shared" ref="X15:X18" si="20">IF((E$6+E$7)&lt;1,0,1/(1+EXP(-(-23.9315+1.7033*I15+12.0822*S15+9.5236*($E$6+$E$7)))))</f>
        <v>1</v>
      </c>
      <c r="Y15" s="636">
        <f t="shared" ref="Y15:Y18" si="21">IF(V15&lt;300,0,1/(1+EXP(-(-32.3074+0.2951*G15+26.8734*S15))))</f>
        <v>0</v>
      </c>
      <c r="Z15" s="709">
        <f t="shared" ref="Z15:Z18" si="22">IF(X15&lt;0.5,(U15*(1-X15)+V15*X15),(U15*(1-X15)+V15*X15*(1-Y15)+W15*Y15))</f>
        <v>0.60381892933517722</v>
      </c>
      <c r="AA15" s="635">
        <f t="shared" ref="AA15:AA18" si="23">0.0193*Z15^0.723*EXP(0.64*$C$10)*1.07</f>
        <v>5.1574328815148306E-2</v>
      </c>
      <c r="AB15" s="709">
        <f t="shared" ref="AB15:AB18" si="24">(1/(0.2204*G15+1))*Z15</f>
        <v>0.36348358375582546</v>
      </c>
      <c r="AC15" s="638">
        <f t="shared" ref="AC15:AC18" si="25">18600*Z15/3600*F$11/10</f>
        <v>9.9831396316749306</v>
      </c>
    </row>
    <row r="16" spans="1:30" x14ac:dyDescent="0.25">
      <c r="A16" s="23" t="str">
        <f>Weather_Site!A14</f>
        <v>Mon</v>
      </c>
      <c r="B16" s="24">
        <f>Weather_Site!B14</f>
        <v>41281</v>
      </c>
      <c r="C16" s="25">
        <f>Weather_Site!C14</f>
        <v>0.29166666666666669</v>
      </c>
      <c r="D16" s="27">
        <f>Weather_Site!D14</f>
        <v>17.7</v>
      </c>
      <c r="E16" s="27">
        <f>Weather_Site!E14</f>
        <v>92.7</v>
      </c>
      <c r="F16" s="28">
        <f>Weather_Site!F14</f>
        <v>162</v>
      </c>
      <c r="G16" s="27">
        <f>Weather_Site!G14</f>
        <v>2</v>
      </c>
      <c r="H16" s="180">
        <f t="shared" si="6"/>
        <v>0</v>
      </c>
      <c r="I16" s="703">
        <f t="shared" si="7"/>
        <v>0.4</v>
      </c>
      <c r="J16" s="742">
        <f>IF(Weather_Site!M14&lt;180,Weather_Site!M14+180,Weather_Site!M14-180)</f>
        <v>342</v>
      </c>
      <c r="K16" s="635">
        <f t="shared" si="8"/>
        <v>13.92381</v>
      </c>
      <c r="L16" s="635">
        <f t="shared" si="9"/>
        <v>18.469799999999999</v>
      </c>
      <c r="M16" s="635">
        <f t="shared" si="10"/>
        <v>20.579690000000003</v>
      </c>
      <c r="N16" s="704">
        <f t="shared" si="11"/>
        <v>20.579690000000003</v>
      </c>
      <c r="O16" s="636">
        <f t="shared" si="12"/>
        <v>0.16735022805062005</v>
      </c>
      <c r="P16" s="705">
        <f>IF($O$11,Weather_Site!H14,IF(0.191*(Weather_Site!K14+104)*(Weather_Site!J14+1)^1.5/(3.52*(Weather_Site!J14+1)^1.5+Weather_Site!I14-1)&gt;10, 10,0.191*(Weather_Site!K14+104)*(Weather_Site!J14+1)^1.5/(3.52*(Weather_Site!J14+1)^1.5+Weather_Site!I14-1)))</f>
        <v>9.6999999999999993</v>
      </c>
      <c r="Q16" s="743">
        <f t="shared" si="13"/>
        <v>2.8901912031999974</v>
      </c>
      <c r="R16" s="636">
        <f t="shared" si="14"/>
        <v>0.12408483763634416</v>
      </c>
      <c r="S16" s="636">
        <f t="shared" si="15"/>
        <v>2.0765625876066358E-2</v>
      </c>
      <c r="T16" s="635">
        <f t="shared" si="16"/>
        <v>1</v>
      </c>
      <c r="U16" s="706">
        <f t="shared" si="17"/>
        <v>0.62296877628199077</v>
      </c>
      <c r="V16" s="707">
        <f t="shared" si="18"/>
        <v>0.62296877628199077</v>
      </c>
      <c r="W16" s="707">
        <f t="shared" si="19"/>
        <v>2.4824054984766533</v>
      </c>
      <c r="X16" s="708">
        <f t="shared" si="20"/>
        <v>1</v>
      </c>
      <c r="Y16" s="636">
        <f t="shared" si="21"/>
        <v>0</v>
      </c>
      <c r="Z16" s="709">
        <f t="shared" si="22"/>
        <v>0.62296877628199077</v>
      </c>
      <c r="AA16" s="635">
        <f t="shared" si="23"/>
        <v>5.2751783082940366E-2</v>
      </c>
      <c r="AB16" s="709">
        <f t="shared" si="24"/>
        <v>0.43237699630898857</v>
      </c>
      <c r="AC16" s="638">
        <f t="shared" si="25"/>
        <v>10.299750434528914</v>
      </c>
    </row>
    <row r="17" spans="1:29" x14ac:dyDescent="0.25">
      <c r="A17" s="23" t="str">
        <f>Weather_Site!A15</f>
        <v>Mon</v>
      </c>
      <c r="B17" s="24">
        <f>Weather_Site!B15</f>
        <v>41281</v>
      </c>
      <c r="C17" s="25">
        <f>Weather_Site!C15</f>
        <v>0.33333333333333331</v>
      </c>
      <c r="D17" s="27">
        <f>Weather_Site!D15</f>
        <v>18.399999999999999</v>
      </c>
      <c r="E17" s="27">
        <f>Weather_Site!E15</f>
        <v>87</v>
      </c>
      <c r="F17" s="28">
        <f>Weather_Site!F15</f>
        <v>160</v>
      </c>
      <c r="G17" s="27">
        <f>Weather_Site!G15</f>
        <v>2</v>
      </c>
      <c r="H17" s="180">
        <f t="shared" si="6"/>
        <v>0</v>
      </c>
      <c r="I17" s="703">
        <f t="shared" si="7"/>
        <v>0.4</v>
      </c>
      <c r="J17" s="742">
        <f>IF(Weather_Site!M15&lt;180,Weather_Site!M15+180,Weather_Site!M15-180)</f>
        <v>340</v>
      </c>
      <c r="K17" s="635">
        <f t="shared" si="8"/>
        <v>13.20392</v>
      </c>
      <c r="L17" s="635">
        <f t="shared" si="9"/>
        <v>17.475000000000001</v>
      </c>
      <c r="M17" s="635">
        <f t="shared" si="10"/>
        <v>19.417279999999998</v>
      </c>
      <c r="N17" s="704">
        <f t="shared" si="11"/>
        <v>17.475000000000001</v>
      </c>
      <c r="O17" s="636">
        <f t="shared" si="12"/>
        <v>0.17658157299541433</v>
      </c>
      <c r="P17" s="705">
        <f>IF($O$11,Weather_Site!H15,IF(0.191*(Weather_Site!K15+104)*(Weather_Site!J15+1)^1.5/(3.52*(Weather_Site!J15+1)^1.5+Weather_Site!I15-1)&gt;10, 10,0.191*(Weather_Site!K15+104)*(Weather_Site!J15+1)^1.5/(3.52*(Weather_Site!J15+1)^1.5+Weather_Site!I15-1)))</f>
        <v>9.6999999999999993</v>
      </c>
      <c r="Q17" s="743">
        <f t="shared" si="13"/>
        <v>2.8901912031999974</v>
      </c>
      <c r="R17" s="636">
        <f t="shared" si="14"/>
        <v>0.12408483763634416</v>
      </c>
      <c r="S17" s="636">
        <f t="shared" si="15"/>
        <v>2.1911095814706242E-2</v>
      </c>
      <c r="T17" s="635">
        <f t="shared" si="16"/>
        <v>1</v>
      </c>
      <c r="U17" s="706">
        <f t="shared" si="17"/>
        <v>0.65733287444118726</v>
      </c>
      <c r="V17" s="707">
        <f t="shared" si="18"/>
        <v>0.65733287444118726</v>
      </c>
      <c r="W17" s="707">
        <f t="shared" si="19"/>
        <v>2.6193395302746882</v>
      </c>
      <c r="X17" s="708">
        <f t="shared" si="20"/>
        <v>1</v>
      </c>
      <c r="Y17" s="636">
        <f t="shared" si="21"/>
        <v>0</v>
      </c>
      <c r="Z17" s="709">
        <f t="shared" si="22"/>
        <v>0.65733287444118726</v>
      </c>
      <c r="AA17" s="635">
        <f t="shared" si="23"/>
        <v>5.483992264642279E-2</v>
      </c>
      <c r="AB17" s="709">
        <f t="shared" si="24"/>
        <v>0.45622770297139592</v>
      </c>
      <c r="AC17" s="638">
        <f t="shared" si="25"/>
        <v>10.867903524094297</v>
      </c>
    </row>
    <row r="18" spans="1:29" x14ac:dyDescent="0.25">
      <c r="A18" s="23" t="str">
        <f>Weather_Site!A16</f>
        <v>Mon</v>
      </c>
      <c r="B18" s="24">
        <f>Weather_Site!B16</f>
        <v>41281</v>
      </c>
      <c r="C18" s="25">
        <f>Weather_Site!C16</f>
        <v>0.375</v>
      </c>
      <c r="D18" s="27">
        <f>Weather_Site!D16</f>
        <v>19.8</v>
      </c>
      <c r="E18" s="27">
        <f>Weather_Site!E16</f>
        <v>78.3</v>
      </c>
      <c r="F18" s="28">
        <f>Weather_Site!F16</f>
        <v>123</v>
      </c>
      <c r="G18" s="27">
        <f>Weather_Site!G16</f>
        <v>4</v>
      </c>
      <c r="H18" s="180">
        <f t="shared" si="6"/>
        <v>0</v>
      </c>
      <c r="I18" s="703">
        <f t="shared" si="7"/>
        <v>0.8</v>
      </c>
      <c r="J18" s="742">
        <f>IF(Weather_Site!M16&lt;180,Weather_Site!M16+180,Weather_Site!M16-180)</f>
        <v>303</v>
      </c>
      <c r="K18" s="635">
        <f t="shared" si="8"/>
        <v>12.098939999999999</v>
      </c>
      <c r="L18" s="635">
        <f t="shared" si="9"/>
        <v>15.941700000000003</v>
      </c>
      <c r="M18" s="635">
        <f t="shared" si="10"/>
        <v>17.62706</v>
      </c>
      <c r="N18" s="704">
        <f t="shared" si="11"/>
        <v>15.941700000000003</v>
      </c>
      <c r="O18" s="636">
        <f t="shared" si="12"/>
        <v>0.18494269353827031</v>
      </c>
      <c r="P18" s="705">
        <f>IF($O$11,Weather_Site!H16,IF(0.191*(Weather_Site!K16+104)*(Weather_Site!J16+1)^1.5/(3.52*(Weather_Site!J16+1)^1.5+Weather_Site!I16-1)&gt;10, 10,0.191*(Weather_Site!K16+104)*(Weather_Site!J16+1)^1.5/(3.52*(Weather_Site!J16+1)^1.5+Weather_Site!I16-1)))</f>
        <v>9.6999999999999993</v>
      </c>
      <c r="Q18" s="743">
        <f t="shared" si="13"/>
        <v>2.8901912031999974</v>
      </c>
      <c r="R18" s="636">
        <f t="shared" si="14"/>
        <v>0.12408483763634416</v>
      </c>
      <c r="S18" s="636">
        <f t="shared" si="15"/>
        <v>2.2948584099724428E-2</v>
      </c>
      <c r="T18" s="635">
        <f t="shared" si="16"/>
        <v>1</v>
      </c>
      <c r="U18" s="706">
        <f t="shared" si="17"/>
        <v>0.6884575229917328</v>
      </c>
      <c r="V18" s="707">
        <f t="shared" si="18"/>
        <v>0.6884575229917328</v>
      </c>
      <c r="W18" s="707">
        <f t="shared" si="19"/>
        <v>6.2646181981228262</v>
      </c>
      <c r="X18" s="708">
        <f t="shared" si="20"/>
        <v>1</v>
      </c>
      <c r="Y18" s="636">
        <f t="shared" si="21"/>
        <v>0</v>
      </c>
      <c r="Z18" s="709">
        <f t="shared" si="22"/>
        <v>0.6884575229917328</v>
      </c>
      <c r="AA18" s="635">
        <f t="shared" si="23"/>
        <v>5.670524131359829E-2</v>
      </c>
      <c r="AB18" s="709">
        <f t="shared" si="24"/>
        <v>0.36588941485530013</v>
      </c>
      <c r="AC18" s="638">
        <f t="shared" si="25"/>
        <v>11.382497713463316</v>
      </c>
    </row>
    <row r="19" spans="1:29" x14ac:dyDescent="0.25">
      <c r="A19" s="45"/>
      <c r="B19" s="672"/>
      <c r="C19" s="673"/>
      <c r="D19" s="413"/>
      <c r="E19" s="413"/>
      <c r="F19" s="674"/>
      <c r="G19" s="413"/>
      <c r="H19" s="180"/>
      <c r="I19" s="710"/>
      <c r="J19" s="736"/>
      <c r="K19" s="711"/>
      <c r="L19" s="711"/>
      <c r="M19" s="711"/>
      <c r="N19" s="712"/>
      <c r="O19" s="713"/>
      <c r="P19" s="714"/>
      <c r="Q19" s="744"/>
      <c r="R19" s="713"/>
      <c r="S19" s="713"/>
      <c r="T19" s="711"/>
      <c r="U19" s="745"/>
      <c r="V19" s="716"/>
      <c r="W19" s="716"/>
      <c r="X19" s="717"/>
      <c r="Y19" s="713"/>
      <c r="Z19" s="746"/>
      <c r="AA19" s="711"/>
      <c r="AB19" s="741"/>
      <c r="AC19" s="720"/>
    </row>
    <row r="20" spans="1:29" x14ac:dyDescent="0.25">
      <c r="A20" s="45"/>
      <c r="B20" s="672"/>
      <c r="C20" s="673"/>
      <c r="D20" s="413"/>
      <c r="E20" s="413"/>
      <c r="F20" s="674"/>
      <c r="G20" s="413"/>
      <c r="H20" s="548"/>
      <c r="I20" s="413"/>
      <c r="J20" s="736"/>
      <c r="K20" s="711"/>
      <c r="L20" s="711"/>
      <c r="M20" s="711"/>
      <c r="N20" s="711"/>
      <c r="O20" s="713"/>
      <c r="P20" s="711"/>
      <c r="Q20" s="711"/>
      <c r="R20" s="713"/>
      <c r="S20" s="713"/>
      <c r="T20" s="711"/>
      <c r="U20" s="716"/>
      <c r="V20" s="716"/>
      <c r="W20" s="716"/>
      <c r="X20" s="717"/>
      <c r="Y20" s="713"/>
      <c r="Z20" s="710"/>
      <c r="AA20" s="711"/>
      <c r="AB20" s="716"/>
      <c r="AC20" s="719"/>
    </row>
    <row r="21" spans="1:29" x14ac:dyDescent="0.25">
      <c r="A21" s="45"/>
      <c r="B21" s="672"/>
      <c r="C21" s="673"/>
      <c r="D21" s="413"/>
      <c r="E21" s="413"/>
      <c r="F21" s="674"/>
      <c r="G21" s="413"/>
      <c r="H21" s="548"/>
      <c r="I21" s="413"/>
      <c r="J21" s="736"/>
      <c r="K21" s="711"/>
      <c r="L21" s="711"/>
      <c r="M21" s="711"/>
      <c r="N21" s="711"/>
      <c r="O21" s="713"/>
      <c r="P21" s="711"/>
      <c r="Q21" s="711"/>
      <c r="R21" s="713"/>
      <c r="S21" s="713"/>
      <c r="T21" s="711"/>
      <c r="U21" s="716"/>
      <c r="V21" s="716"/>
      <c r="W21" s="716"/>
      <c r="X21" s="717"/>
      <c r="Y21" s="713"/>
      <c r="Z21" s="710"/>
      <c r="AA21" s="711"/>
      <c r="AB21" s="716"/>
      <c r="AC21" s="719"/>
    </row>
    <row r="22" spans="1:29" x14ac:dyDescent="0.25">
      <c r="A22" s="45"/>
      <c r="B22" s="672"/>
      <c r="C22" s="673"/>
      <c r="D22" s="413"/>
      <c r="E22" s="413"/>
      <c r="F22" s="674"/>
      <c r="G22" s="413"/>
      <c r="H22" s="548"/>
      <c r="I22" s="413"/>
      <c r="J22" s="736"/>
      <c r="K22" s="711"/>
      <c r="L22" s="711"/>
      <c r="M22" s="711"/>
      <c r="N22" s="711"/>
      <c r="O22" s="713"/>
      <c r="P22" s="711"/>
      <c r="Q22" s="711"/>
      <c r="R22" s="713"/>
      <c r="S22" s="713"/>
      <c r="T22" s="711"/>
      <c r="U22" s="716"/>
      <c r="V22" s="716"/>
      <c r="W22" s="716"/>
      <c r="X22" s="717"/>
      <c r="Y22" s="713"/>
      <c r="Z22" s="710"/>
      <c r="AA22" s="711"/>
      <c r="AB22" s="716"/>
      <c r="AC22" s="719"/>
    </row>
    <row r="23" spans="1:29" x14ac:dyDescent="0.25">
      <c r="A23" s="45"/>
      <c r="B23" s="672"/>
      <c r="C23" s="673"/>
      <c r="D23" s="413"/>
      <c r="E23" s="413"/>
      <c r="F23" s="674"/>
      <c r="G23" s="413"/>
      <c r="H23" s="548"/>
      <c r="I23" s="413"/>
      <c r="J23" s="736"/>
      <c r="K23" s="711"/>
      <c r="L23" s="711"/>
      <c r="M23" s="711"/>
      <c r="N23" s="711"/>
      <c r="O23" s="713"/>
      <c r="P23" s="711"/>
      <c r="Q23" s="711"/>
      <c r="R23" s="713"/>
      <c r="S23" s="713"/>
      <c r="T23" s="711"/>
      <c r="U23" s="716"/>
      <c r="V23" s="716"/>
      <c r="W23" s="716"/>
      <c r="X23" s="717"/>
      <c r="Y23" s="713"/>
      <c r="Z23" s="710"/>
      <c r="AA23" s="711"/>
      <c r="AB23" s="716"/>
      <c r="AC23" s="719"/>
    </row>
    <row r="24" spans="1:29" x14ac:dyDescent="0.25">
      <c r="A24" s="23"/>
      <c r="B24" s="24"/>
      <c r="C24" s="25"/>
      <c r="D24" s="27"/>
      <c r="E24" s="27"/>
      <c r="F24" s="28"/>
      <c r="G24" s="27"/>
      <c r="H24" s="548"/>
      <c r="I24" s="27"/>
      <c r="J24" s="737"/>
      <c r="K24" s="635"/>
      <c r="L24" s="635"/>
      <c r="M24" s="635"/>
      <c r="N24" s="635"/>
      <c r="O24" s="636"/>
      <c r="P24" s="635"/>
      <c r="Q24" s="635"/>
      <c r="R24" s="636"/>
      <c r="S24" s="636"/>
      <c r="T24" s="635"/>
      <c r="U24" s="707"/>
      <c r="V24" s="707"/>
      <c r="W24" s="707"/>
      <c r="X24" s="708"/>
      <c r="Y24" s="636"/>
      <c r="Z24" s="637"/>
      <c r="AA24" s="635"/>
      <c r="AB24" s="707"/>
      <c r="AC24" s="644"/>
    </row>
    <row r="25" spans="1:29" x14ac:dyDescent="0.25">
      <c r="A25" s="23"/>
      <c r="B25" s="24"/>
      <c r="C25" s="25"/>
      <c r="D25" s="27"/>
      <c r="E25" s="27"/>
      <c r="F25" s="28"/>
      <c r="G25" s="27"/>
      <c r="H25" s="548"/>
      <c r="I25" s="27"/>
      <c r="J25" s="737"/>
      <c r="K25" s="635"/>
      <c r="L25" s="635"/>
      <c r="M25" s="635"/>
      <c r="N25" s="635"/>
      <c r="O25" s="636"/>
      <c r="P25" s="635"/>
      <c r="Q25" s="635"/>
      <c r="R25" s="636"/>
      <c r="S25" s="636"/>
      <c r="T25" s="635"/>
      <c r="U25" s="707"/>
      <c r="V25" s="707"/>
      <c r="W25" s="707"/>
      <c r="X25" s="708"/>
      <c r="Y25" s="636"/>
      <c r="Z25" s="637"/>
      <c r="AA25" s="635"/>
      <c r="AB25" s="707"/>
      <c r="AC25" s="644"/>
    </row>
    <row r="26" spans="1:29" x14ac:dyDescent="0.25">
      <c r="A26" s="23"/>
      <c r="B26" s="24"/>
      <c r="C26" s="25"/>
      <c r="D26" s="27"/>
      <c r="E26" s="27"/>
      <c r="F26" s="28"/>
      <c r="G26" s="27"/>
      <c r="H26" s="548"/>
      <c r="I26" s="27"/>
      <c r="J26" s="737"/>
      <c r="K26" s="635"/>
      <c r="L26" s="635"/>
      <c r="M26" s="635"/>
      <c r="N26" s="635"/>
      <c r="O26" s="636"/>
      <c r="P26" s="635"/>
      <c r="Q26" s="635"/>
      <c r="R26" s="636"/>
      <c r="S26" s="636"/>
      <c r="T26" s="635"/>
      <c r="U26" s="707"/>
      <c r="V26" s="707"/>
      <c r="W26" s="707"/>
      <c r="X26" s="708"/>
      <c r="Y26" s="636"/>
      <c r="Z26" s="637"/>
      <c r="AA26" s="635"/>
      <c r="AB26" s="707"/>
      <c r="AC26" s="644"/>
    </row>
    <row r="27" spans="1:29" x14ac:dyDescent="0.25">
      <c r="A27" s="23"/>
      <c r="B27" s="24"/>
      <c r="C27" s="25"/>
      <c r="D27" s="27"/>
      <c r="E27" s="27"/>
      <c r="F27" s="28"/>
      <c r="G27" s="27"/>
      <c r="H27" s="548"/>
      <c r="I27" s="27"/>
      <c r="J27" s="737"/>
      <c r="K27" s="635"/>
      <c r="L27" s="635"/>
      <c r="M27" s="635"/>
      <c r="N27" s="635"/>
      <c r="O27" s="636"/>
      <c r="P27" s="635"/>
      <c r="Q27" s="635"/>
      <c r="R27" s="636"/>
      <c r="S27" s="636"/>
      <c r="T27" s="635"/>
      <c r="U27" s="707"/>
      <c r="V27" s="707"/>
      <c r="W27" s="707"/>
      <c r="X27" s="708"/>
      <c r="Y27" s="636"/>
      <c r="Z27" s="637"/>
      <c r="AA27" s="635"/>
      <c r="AB27" s="707"/>
      <c r="AC27" s="644"/>
    </row>
    <row r="28" spans="1:29" x14ac:dyDescent="0.25">
      <c r="A28" s="23"/>
      <c r="B28" s="24"/>
      <c r="C28" s="25"/>
      <c r="D28" s="27"/>
      <c r="E28" s="27"/>
      <c r="F28" s="28"/>
      <c r="G28" s="27"/>
      <c r="H28" s="548"/>
      <c r="I28" s="27"/>
      <c r="J28" s="737"/>
      <c r="K28" s="635"/>
      <c r="L28" s="635"/>
      <c r="M28" s="635"/>
      <c r="N28" s="635"/>
      <c r="O28" s="636"/>
      <c r="P28" s="635"/>
      <c r="Q28" s="635"/>
      <c r="R28" s="636"/>
      <c r="S28" s="636"/>
      <c r="T28" s="635"/>
      <c r="U28" s="707"/>
      <c r="V28" s="707"/>
      <c r="W28" s="707"/>
      <c r="X28" s="708"/>
      <c r="Y28" s="636"/>
      <c r="Z28" s="637"/>
      <c r="AA28" s="635"/>
      <c r="AB28" s="707"/>
      <c r="AC28" s="644"/>
    </row>
    <row r="29" spans="1:29" x14ac:dyDescent="0.25">
      <c r="A29" s="45"/>
      <c r="B29" s="672"/>
      <c r="C29" s="673"/>
      <c r="D29" s="413"/>
      <c r="E29" s="413"/>
      <c r="F29" s="674"/>
      <c r="G29" s="413"/>
      <c r="H29" s="548"/>
      <c r="I29" s="413"/>
      <c r="J29" s="736"/>
      <c r="K29" s="711"/>
      <c r="L29" s="711"/>
      <c r="M29" s="711"/>
      <c r="N29" s="711"/>
      <c r="O29" s="713"/>
      <c r="P29" s="711"/>
      <c r="Q29" s="711"/>
      <c r="R29" s="713"/>
      <c r="S29" s="713"/>
      <c r="T29" s="711"/>
      <c r="U29" s="716"/>
      <c r="V29" s="716"/>
      <c r="W29" s="716"/>
      <c r="X29" s="717"/>
      <c r="Y29" s="713"/>
      <c r="Z29" s="710"/>
      <c r="AA29" s="711"/>
      <c r="AB29" s="716"/>
      <c r="AC29" s="719"/>
    </row>
    <row r="30" spans="1:29" x14ac:dyDescent="0.25">
      <c r="A30" s="45"/>
      <c r="B30" s="672"/>
      <c r="C30" s="673"/>
      <c r="D30" s="413"/>
      <c r="E30" s="413"/>
      <c r="F30" s="674"/>
      <c r="G30" s="413"/>
      <c r="H30" s="548"/>
      <c r="I30" s="413"/>
      <c r="J30" s="736"/>
      <c r="K30" s="711"/>
      <c r="L30" s="711"/>
      <c r="M30" s="711"/>
      <c r="N30" s="711"/>
      <c r="O30" s="713"/>
      <c r="P30" s="711"/>
      <c r="Q30" s="711"/>
      <c r="R30" s="713"/>
      <c r="S30" s="713"/>
      <c r="T30" s="711"/>
      <c r="U30" s="716"/>
      <c r="V30" s="716"/>
      <c r="W30" s="716"/>
      <c r="X30" s="717"/>
      <c r="Y30" s="713"/>
      <c r="Z30" s="710"/>
      <c r="AA30" s="711"/>
      <c r="AB30" s="716"/>
      <c r="AC30" s="719"/>
    </row>
    <row r="31" spans="1:29" x14ac:dyDescent="0.25">
      <c r="A31" s="45"/>
      <c r="B31" s="672"/>
      <c r="C31" s="673"/>
      <c r="D31" s="413"/>
      <c r="E31" s="413"/>
      <c r="F31" s="674"/>
      <c r="G31" s="413"/>
      <c r="H31" s="548"/>
      <c r="I31" s="413"/>
      <c r="J31" s="736"/>
      <c r="K31" s="711"/>
      <c r="L31" s="711"/>
      <c r="M31" s="711"/>
      <c r="N31" s="711"/>
      <c r="O31" s="713"/>
      <c r="P31" s="711"/>
      <c r="Q31" s="711"/>
      <c r="R31" s="713"/>
      <c r="S31" s="713"/>
      <c r="T31" s="711"/>
      <c r="U31" s="716"/>
      <c r="V31" s="716"/>
      <c r="W31" s="716"/>
      <c r="X31" s="713"/>
      <c r="Y31" s="713"/>
      <c r="Z31" s="710"/>
      <c r="AA31" s="711"/>
      <c r="AB31" s="716"/>
      <c r="AC31" s="719"/>
    </row>
    <row r="32" spans="1:29" x14ac:dyDescent="0.25">
      <c r="A32" s="45"/>
      <c r="B32" s="672"/>
      <c r="C32" s="673"/>
      <c r="D32" s="413"/>
      <c r="E32" s="413"/>
      <c r="F32" s="674"/>
      <c r="G32" s="413"/>
      <c r="H32" s="548"/>
      <c r="I32" s="413"/>
      <c r="J32" s="736"/>
      <c r="K32" s="711"/>
      <c r="L32" s="711"/>
      <c r="M32" s="711"/>
      <c r="N32" s="711"/>
      <c r="O32" s="713"/>
      <c r="P32" s="711"/>
      <c r="Q32" s="711"/>
      <c r="R32" s="713"/>
      <c r="S32" s="713"/>
      <c r="T32" s="711"/>
      <c r="U32" s="716"/>
      <c r="V32" s="716"/>
      <c r="W32" s="716"/>
      <c r="X32" s="713"/>
      <c r="Y32" s="713"/>
      <c r="Z32" s="710"/>
      <c r="AA32" s="711"/>
      <c r="AB32" s="716"/>
      <c r="AC32" s="719"/>
    </row>
    <row r="33" spans="1:29" x14ac:dyDescent="0.25">
      <c r="A33" s="45"/>
      <c r="B33" s="672"/>
      <c r="C33" s="673"/>
      <c r="D33" s="413"/>
      <c r="E33" s="413"/>
      <c r="F33" s="674"/>
      <c r="G33" s="413"/>
      <c r="H33" s="548"/>
      <c r="I33" s="413"/>
      <c r="J33" s="736"/>
      <c r="K33" s="711"/>
      <c r="L33" s="711"/>
      <c r="M33" s="711"/>
      <c r="N33" s="711"/>
      <c r="O33" s="713"/>
      <c r="P33" s="711"/>
      <c r="Q33" s="711"/>
      <c r="R33" s="713"/>
      <c r="S33" s="713"/>
      <c r="T33" s="711"/>
      <c r="U33" s="716"/>
      <c r="V33" s="716"/>
      <c r="W33" s="716"/>
      <c r="X33" s="713"/>
      <c r="Y33" s="713"/>
      <c r="Z33" s="710"/>
      <c r="AA33" s="711"/>
      <c r="AB33" s="716"/>
      <c r="AC33" s="719"/>
    </row>
    <row r="34" spans="1:29" x14ac:dyDescent="0.25">
      <c r="A34" s="23"/>
      <c r="B34" s="24"/>
      <c r="C34" s="25"/>
      <c r="D34" s="27"/>
      <c r="E34" s="27"/>
      <c r="F34" s="28"/>
      <c r="G34" s="27"/>
      <c r="H34" s="548"/>
      <c r="I34" s="27"/>
      <c r="J34" s="737"/>
      <c r="K34" s="635"/>
      <c r="L34" s="635"/>
      <c r="M34" s="635"/>
      <c r="N34" s="635"/>
      <c r="O34" s="636"/>
      <c r="P34" s="635"/>
      <c r="Q34" s="635"/>
      <c r="R34" s="636"/>
      <c r="S34" s="636"/>
      <c r="T34" s="635"/>
      <c r="U34" s="707"/>
      <c r="V34" s="707"/>
      <c r="W34" s="707"/>
      <c r="X34" s="636"/>
      <c r="Y34" s="636"/>
      <c r="Z34" s="637"/>
      <c r="AA34" s="635"/>
      <c r="AB34" s="707"/>
      <c r="AC34" s="644"/>
    </row>
    <row r="35" spans="1:29" x14ac:dyDescent="0.25">
      <c r="A35" s="23"/>
      <c r="B35" s="24"/>
      <c r="C35" s="25"/>
      <c r="D35" s="27"/>
      <c r="E35" s="27"/>
      <c r="F35" s="28"/>
      <c r="G35" s="27"/>
      <c r="H35" s="548"/>
      <c r="I35" s="27"/>
      <c r="J35" s="737"/>
      <c r="K35" s="635"/>
      <c r="L35" s="635"/>
      <c r="M35" s="635"/>
      <c r="N35" s="635"/>
      <c r="O35" s="636"/>
      <c r="P35" s="635"/>
      <c r="Q35" s="635"/>
      <c r="R35" s="636"/>
      <c r="S35" s="636"/>
      <c r="T35" s="635"/>
      <c r="U35" s="707"/>
      <c r="V35" s="707"/>
      <c r="W35" s="707"/>
      <c r="X35" s="636"/>
      <c r="Y35" s="636"/>
      <c r="Z35" s="637"/>
      <c r="AA35" s="635"/>
      <c r="AB35" s="707"/>
      <c r="AC35" s="644"/>
    </row>
    <row r="36" spans="1:29" x14ac:dyDescent="0.25">
      <c r="A36" s="23"/>
      <c r="B36" s="24"/>
      <c r="C36" s="25"/>
      <c r="D36" s="27"/>
      <c r="E36" s="27"/>
      <c r="F36" s="28"/>
      <c r="G36" s="27"/>
      <c r="H36" s="548"/>
      <c r="I36" s="27"/>
      <c r="J36" s="737"/>
      <c r="K36" s="635"/>
      <c r="L36" s="635"/>
      <c r="M36" s="635"/>
      <c r="N36" s="635"/>
      <c r="O36" s="636"/>
      <c r="P36" s="635"/>
      <c r="Q36" s="635"/>
      <c r="R36" s="636"/>
      <c r="S36" s="636"/>
      <c r="T36" s="635"/>
      <c r="U36" s="707"/>
      <c r="V36" s="707"/>
      <c r="W36" s="707"/>
      <c r="X36" s="636"/>
      <c r="Y36" s="636"/>
      <c r="Z36" s="637"/>
      <c r="AA36" s="635"/>
      <c r="AB36" s="707"/>
      <c r="AC36" s="644"/>
    </row>
    <row r="37" spans="1:29" x14ac:dyDescent="0.25">
      <c r="A37" s="23"/>
      <c r="B37" s="24"/>
      <c r="C37" s="25"/>
      <c r="D37" s="27"/>
      <c r="E37" s="27"/>
      <c r="F37" s="28"/>
      <c r="G37" s="27"/>
      <c r="H37" s="548"/>
      <c r="I37" s="27"/>
      <c r="J37" s="737"/>
      <c r="K37" s="635"/>
      <c r="L37" s="635"/>
      <c r="M37" s="635"/>
      <c r="N37" s="635"/>
      <c r="O37" s="636"/>
      <c r="P37" s="635"/>
      <c r="Q37" s="635"/>
      <c r="R37" s="636"/>
      <c r="S37" s="636"/>
      <c r="T37" s="635"/>
      <c r="U37" s="707"/>
      <c r="V37" s="707"/>
      <c r="W37" s="707"/>
      <c r="X37" s="636"/>
      <c r="Y37" s="636"/>
      <c r="Z37" s="637"/>
      <c r="AA37" s="635"/>
      <c r="AB37" s="707"/>
      <c r="AC37" s="644"/>
    </row>
    <row r="38" spans="1:29" x14ac:dyDescent="0.25">
      <c r="A38" s="23"/>
      <c r="B38" s="24"/>
      <c r="C38" s="25"/>
      <c r="D38" s="27"/>
      <c r="E38" s="27"/>
      <c r="F38" s="28"/>
      <c r="G38" s="27"/>
      <c r="H38" s="548"/>
      <c r="I38" s="27"/>
      <c r="J38" s="737"/>
      <c r="K38" s="635"/>
      <c r="L38" s="635"/>
      <c r="M38" s="635"/>
      <c r="N38" s="635"/>
      <c r="O38" s="636"/>
      <c r="P38" s="635"/>
      <c r="Q38" s="635"/>
      <c r="R38" s="636"/>
      <c r="S38" s="636"/>
      <c r="T38" s="635"/>
      <c r="U38" s="707"/>
      <c r="V38" s="707"/>
      <c r="W38" s="707"/>
      <c r="X38" s="636"/>
      <c r="Y38" s="636"/>
      <c r="Z38" s="637"/>
      <c r="AA38" s="635"/>
      <c r="AB38" s="707"/>
      <c r="AC38" s="644"/>
    </row>
    <row r="39" spans="1:29" x14ac:dyDescent="0.25">
      <c r="A39" s="45"/>
      <c r="B39" s="672"/>
      <c r="C39" s="673"/>
      <c r="D39" s="413"/>
      <c r="E39" s="413"/>
      <c r="F39" s="674"/>
      <c r="G39" s="413"/>
      <c r="H39" s="548"/>
      <c r="I39" s="413"/>
      <c r="J39" s="736"/>
      <c r="K39" s="711"/>
      <c r="L39" s="711"/>
      <c r="M39" s="711"/>
      <c r="N39" s="711"/>
      <c r="O39" s="713"/>
      <c r="P39" s="711"/>
      <c r="Q39" s="711"/>
      <c r="R39" s="713"/>
      <c r="S39" s="713"/>
      <c r="T39" s="711"/>
      <c r="U39" s="716"/>
      <c r="V39" s="716"/>
      <c r="W39" s="716"/>
      <c r="X39" s="713"/>
      <c r="Y39" s="713"/>
      <c r="Z39" s="710"/>
      <c r="AA39" s="711"/>
      <c r="AB39" s="716"/>
      <c r="AC39" s="719"/>
    </row>
    <row r="40" spans="1:29" x14ac:dyDescent="0.25">
      <c r="A40" s="45"/>
      <c r="B40" s="672"/>
      <c r="C40" s="673"/>
      <c r="D40" s="413"/>
      <c r="E40" s="413"/>
      <c r="F40" s="674"/>
      <c r="G40" s="413"/>
      <c r="H40" s="548"/>
      <c r="I40" s="413"/>
      <c r="J40" s="736"/>
      <c r="K40" s="711"/>
      <c r="L40" s="711"/>
      <c r="M40" s="711"/>
      <c r="N40" s="711"/>
      <c r="O40" s="713"/>
      <c r="P40" s="711"/>
      <c r="Q40" s="711"/>
      <c r="R40" s="713"/>
      <c r="S40" s="713"/>
      <c r="T40" s="711"/>
      <c r="U40" s="716"/>
      <c r="V40" s="716"/>
      <c r="W40" s="716"/>
      <c r="X40" s="713"/>
      <c r="Y40" s="713"/>
      <c r="Z40" s="710"/>
      <c r="AA40" s="711"/>
      <c r="AB40" s="716"/>
      <c r="AC40" s="719"/>
    </row>
    <row r="41" spans="1:29" x14ac:dyDescent="0.25">
      <c r="A41" s="45"/>
      <c r="B41" s="672"/>
      <c r="C41" s="673"/>
      <c r="D41" s="413"/>
      <c r="E41" s="413"/>
      <c r="F41" s="674"/>
      <c r="G41" s="413"/>
      <c r="H41" s="548"/>
      <c r="I41" s="413"/>
      <c r="J41" s="736"/>
      <c r="K41" s="711"/>
      <c r="L41" s="711"/>
      <c r="M41" s="711"/>
      <c r="N41" s="711"/>
      <c r="O41" s="713"/>
      <c r="P41" s="711"/>
      <c r="Q41" s="711"/>
      <c r="R41" s="713"/>
      <c r="S41" s="713"/>
      <c r="T41" s="711"/>
      <c r="U41" s="716"/>
      <c r="V41" s="716"/>
      <c r="W41" s="716"/>
      <c r="X41" s="713"/>
      <c r="Y41" s="713"/>
      <c r="Z41" s="710"/>
      <c r="AA41" s="711"/>
      <c r="AB41" s="716"/>
      <c r="AC41" s="719"/>
    </row>
    <row r="42" spans="1:29" x14ac:dyDescent="0.25">
      <c r="A42" s="45"/>
      <c r="B42" s="672"/>
      <c r="C42" s="673"/>
      <c r="D42" s="413"/>
      <c r="E42" s="413"/>
      <c r="F42" s="674"/>
      <c r="G42" s="413"/>
      <c r="H42" s="548"/>
      <c r="I42" s="413"/>
      <c r="J42" s="736"/>
      <c r="K42" s="711"/>
      <c r="L42" s="711"/>
      <c r="M42" s="711"/>
      <c r="N42" s="711"/>
      <c r="O42" s="713"/>
      <c r="P42" s="711"/>
      <c r="Q42" s="711"/>
      <c r="R42" s="713"/>
      <c r="S42" s="713"/>
      <c r="T42" s="711"/>
      <c r="U42" s="716"/>
      <c r="V42" s="716"/>
      <c r="W42" s="716"/>
      <c r="X42" s="713"/>
      <c r="Y42" s="713"/>
      <c r="Z42" s="710"/>
      <c r="AA42" s="711"/>
      <c r="AB42" s="716"/>
      <c r="AC42" s="719"/>
    </row>
    <row r="43" spans="1:29" x14ac:dyDescent="0.25">
      <c r="A43" s="45"/>
      <c r="B43" s="672"/>
      <c r="C43" s="673"/>
      <c r="D43" s="413"/>
      <c r="E43" s="413"/>
      <c r="F43" s="674"/>
      <c r="G43" s="413"/>
      <c r="H43" s="548"/>
      <c r="I43" s="413"/>
      <c r="J43" s="736"/>
      <c r="K43" s="711"/>
      <c r="L43" s="711"/>
      <c r="M43" s="711"/>
      <c r="N43" s="711"/>
      <c r="O43" s="713"/>
      <c r="P43" s="711"/>
      <c r="Q43" s="711"/>
      <c r="R43" s="713"/>
      <c r="S43" s="713"/>
      <c r="T43" s="711"/>
      <c r="U43" s="716"/>
      <c r="V43" s="716"/>
      <c r="W43" s="716"/>
      <c r="X43" s="713"/>
      <c r="Y43" s="713"/>
      <c r="Z43" s="710"/>
      <c r="AA43" s="711"/>
      <c r="AB43" s="716"/>
      <c r="AC43" s="719"/>
    </row>
    <row r="44" spans="1:29" x14ac:dyDescent="0.25">
      <c r="A44" s="23"/>
      <c r="B44" s="24"/>
      <c r="C44" s="25"/>
      <c r="D44" s="27"/>
      <c r="E44" s="27"/>
      <c r="F44" s="28"/>
      <c r="G44" s="27"/>
      <c r="H44" s="548"/>
      <c r="I44" s="27"/>
      <c r="J44" s="737"/>
      <c r="K44" s="635"/>
      <c r="L44" s="635"/>
      <c r="M44" s="635"/>
      <c r="N44" s="635"/>
      <c r="O44" s="636"/>
      <c r="P44" s="635"/>
      <c r="Q44" s="635"/>
      <c r="R44" s="636"/>
      <c r="S44" s="636"/>
      <c r="T44" s="635"/>
      <c r="U44" s="707"/>
      <c r="V44" s="707"/>
      <c r="W44" s="707"/>
      <c r="X44" s="636"/>
      <c r="Y44" s="636"/>
      <c r="Z44" s="637"/>
      <c r="AA44" s="635"/>
      <c r="AB44" s="707"/>
      <c r="AC44" s="644"/>
    </row>
    <row r="45" spans="1:29" x14ac:dyDescent="0.25">
      <c r="A45" s="23"/>
      <c r="B45" s="24"/>
      <c r="C45" s="25"/>
      <c r="D45" s="27"/>
      <c r="E45" s="27"/>
      <c r="F45" s="28"/>
      <c r="G45" s="27"/>
      <c r="H45" s="548"/>
      <c r="I45" s="27"/>
      <c r="J45" s="737"/>
      <c r="K45" s="635"/>
      <c r="L45" s="635"/>
      <c r="M45" s="635"/>
      <c r="N45" s="635"/>
      <c r="O45" s="636"/>
      <c r="P45" s="635"/>
      <c r="Q45" s="635"/>
      <c r="R45" s="636"/>
      <c r="S45" s="636"/>
      <c r="T45" s="635"/>
      <c r="U45" s="707"/>
      <c r="V45" s="707"/>
      <c r="W45" s="707"/>
      <c r="X45" s="636"/>
      <c r="Y45" s="636"/>
      <c r="Z45" s="637"/>
      <c r="AA45" s="635"/>
      <c r="AB45" s="707"/>
      <c r="AC45" s="644"/>
    </row>
    <row r="46" spans="1:29" x14ac:dyDescent="0.25">
      <c r="A46" s="23"/>
      <c r="B46" s="24"/>
      <c r="C46" s="25"/>
      <c r="D46" s="27"/>
      <c r="E46" s="27"/>
      <c r="F46" s="28"/>
      <c r="G46" s="27"/>
      <c r="H46" s="548"/>
      <c r="I46" s="27"/>
      <c r="J46" s="737"/>
      <c r="K46" s="635"/>
      <c r="L46" s="635"/>
      <c r="M46" s="635"/>
      <c r="N46" s="635"/>
      <c r="O46" s="636"/>
      <c r="P46" s="635"/>
      <c r="Q46" s="635"/>
      <c r="R46" s="636"/>
      <c r="S46" s="636"/>
      <c r="T46" s="635"/>
      <c r="U46" s="707"/>
      <c r="V46" s="707"/>
      <c r="W46" s="707"/>
      <c r="X46" s="636"/>
      <c r="Y46" s="636"/>
      <c r="Z46" s="637"/>
      <c r="AA46" s="635"/>
      <c r="AB46" s="707"/>
      <c r="AC46" s="644"/>
    </row>
    <row r="47" spans="1:29" x14ac:dyDescent="0.25">
      <c r="A47" s="23"/>
      <c r="B47" s="24"/>
      <c r="C47" s="25"/>
      <c r="D47" s="27"/>
      <c r="E47" s="27"/>
      <c r="F47" s="28"/>
      <c r="G47" s="27"/>
      <c r="H47" s="548"/>
      <c r="I47" s="27"/>
      <c r="J47" s="737"/>
      <c r="K47" s="635"/>
      <c r="L47" s="635"/>
      <c r="M47" s="635"/>
      <c r="N47" s="635"/>
      <c r="O47" s="636"/>
      <c r="P47" s="635"/>
      <c r="Q47" s="635"/>
      <c r="R47" s="636"/>
      <c r="S47" s="636"/>
      <c r="T47" s="635"/>
      <c r="U47" s="707"/>
      <c r="V47" s="707"/>
      <c r="W47" s="707"/>
      <c r="X47" s="636"/>
      <c r="Y47" s="636"/>
      <c r="Z47" s="637"/>
      <c r="AA47" s="635"/>
      <c r="AB47" s="707"/>
      <c r="AC47" s="644"/>
    </row>
    <row r="48" spans="1:29" x14ac:dyDescent="0.25">
      <c r="A48" s="23"/>
      <c r="B48" s="24"/>
      <c r="C48" s="25"/>
      <c r="D48" s="27"/>
      <c r="E48" s="27"/>
      <c r="F48" s="28"/>
      <c r="G48" s="27"/>
      <c r="H48" s="548"/>
      <c r="I48" s="27"/>
      <c r="J48" s="737"/>
      <c r="K48" s="635"/>
      <c r="L48" s="635"/>
      <c r="M48" s="635"/>
      <c r="N48" s="635"/>
      <c r="O48" s="636"/>
      <c r="P48" s="635"/>
      <c r="Q48" s="635"/>
      <c r="R48" s="636"/>
      <c r="S48" s="636"/>
      <c r="T48" s="635"/>
      <c r="U48" s="707"/>
      <c r="V48" s="707"/>
      <c r="W48" s="707"/>
      <c r="X48" s="636"/>
      <c r="Y48" s="636"/>
      <c r="Z48" s="637"/>
      <c r="AA48" s="635"/>
      <c r="AB48" s="707"/>
      <c r="AC48" s="644"/>
    </row>
    <row r="49" spans="1:29" x14ac:dyDescent="0.25">
      <c r="A49" s="45"/>
      <c r="B49" s="672"/>
      <c r="C49" s="673"/>
      <c r="D49" s="413"/>
      <c r="E49" s="413"/>
      <c r="F49" s="674"/>
      <c r="G49" s="413"/>
      <c r="H49" s="548"/>
      <c r="I49" s="413"/>
      <c r="J49" s="736"/>
      <c r="K49" s="711"/>
      <c r="L49" s="711"/>
      <c r="M49" s="711"/>
      <c r="N49" s="711"/>
      <c r="O49" s="713"/>
      <c r="P49" s="711"/>
      <c r="Q49" s="711"/>
      <c r="R49" s="713"/>
      <c r="S49" s="713"/>
      <c r="T49" s="711"/>
      <c r="U49" s="716"/>
      <c r="V49" s="716"/>
      <c r="W49" s="716"/>
      <c r="X49" s="713"/>
      <c r="Y49" s="713"/>
      <c r="Z49" s="710"/>
      <c r="AA49" s="711"/>
      <c r="AB49" s="716"/>
      <c r="AC49" s="719"/>
    </row>
    <row r="50" spans="1:29" x14ac:dyDescent="0.25">
      <c r="A50" s="45"/>
      <c r="B50" s="672"/>
      <c r="C50" s="673"/>
      <c r="D50" s="413"/>
      <c r="E50" s="413"/>
      <c r="F50" s="674"/>
      <c r="G50" s="413"/>
      <c r="H50" s="548"/>
      <c r="I50" s="413"/>
      <c r="J50" s="736"/>
      <c r="K50" s="711"/>
      <c r="L50" s="711"/>
      <c r="M50" s="711"/>
      <c r="N50" s="711"/>
      <c r="O50" s="713"/>
      <c r="P50" s="711"/>
      <c r="Q50" s="711"/>
      <c r="R50" s="713"/>
      <c r="S50" s="713"/>
      <c r="T50" s="711"/>
      <c r="U50" s="716"/>
      <c r="V50" s="716"/>
      <c r="W50" s="716"/>
      <c r="X50" s="713"/>
      <c r="Y50" s="713"/>
      <c r="Z50" s="710"/>
      <c r="AA50" s="711"/>
      <c r="AB50" s="716"/>
      <c r="AC50" s="719"/>
    </row>
    <row r="51" spans="1:29" x14ac:dyDescent="0.25">
      <c r="A51" s="45"/>
      <c r="B51" s="672"/>
      <c r="C51" s="673"/>
      <c r="D51" s="413"/>
      <c r="E51" s="413"/>
      <c r="F51" s="674"/>
      <c r="G51" s="413"/>
      <c r="H51" s="548"/>
      <c r="I51" s="413"/>
      <c r="J51" s="736"/>
      <c r="K51" s="711"/>
      <c r="L51" s="711"/>
      <c r="M51" s="711"/>
      <c r="N51" s="711"/>
      <c r="O51" s="713"/>
      <c r="P51" s="711"/>
      <c r="Q51" s="711"/>
      <c r="R51" s="713"/>
      <c r="S51" s="713"/>
      <c r="T51" s="711"/>
      <c r="U51" s="716"/>
      <c r="V51" s="716"/>
      <c r="W51" s="716"/>
      <c r="X51" s="713"/>
      <c r="Y51" s="713"/>
      <c r="Z51" s="710"/>
      <c r="AA51" s="711"/>
      <c r="AB51" s="716"/>
      <c r="AC51" s="719"/>
    </row>
    <row r="52" spans="1:29" x14ac:dyDescent="0.25">
      <c r="A52" s="45"/>
      <c r="B52" s="672"/>
      <c r="C52" s="673"/>
      <c r="D52" s="413"/>
      <c r="E52" s="413"/>
      <c r="F52" s="674"/>
      <c r="G52" s="413"/>
      <c r="H52" s="548"/>
      <c r="I52" s="413"/>
      <c r="J52" s="736"/>
      <c r="K52" s="711"/>
      <c r="L52" s="711"/>
      <c r="M52" s="711"/>
      <c r="N52" s="711"/>
      <c r="O52" s="713"/>
      <c r="P52" s="711"/>
      <c r="Q52" s="711"/>
      <c r="R52" s="713"/>
      <c r="S52" s="713"/>
      <c r="T52" s="711"/>
      <c r="U52" s="716"/>
      <c r="V52" s="716"/>
      <c r="W52" s="716"/>
      <c r="X52" s="713"/>
      <c r="Y52" s="713"/>
      <c r="Z52" s="710"/>
      <c r="AA52" s="711"/>
      <c r="AB52" s="716"/>
      <c r="AC52" s="719"/>
    </row>
    <row r="53" spans="1:29" x14ac:dyDescent="0.25">
      <c r="A53" s="45"/>
      <c r="B53" s="672"/>
      <c r="C53" s="673"/>
      <c r="D53" s="413"/>
      <c r="E53" s="413"/>
      <c r="F53" s="674"/>
      <c r="G53" s="413"/>
      <c r="H53" s="548"/>
      <c r="I53" s="413"/>
      <c r="J53" s="736"/>
      <c r="K53" s="711"/>
      <c r="L53" s="711"/>
      <c r="M53" s="711"/>
      <c r="N53" s="711"/>
      <c r="O53" s="713"/>
      <c r="P53" s="711"/>
      <c r="Q53" s="711"/>
      <c r="R53" s="713"/>
      <c r="S53" s="713"/>
      <c r="T53" s="711"/>
      <c r="U53" s="716"/>
      <c r="V53" s="716"/>
      <c r="W53" s="716"/>
      <c r="X53" s="713"/>
      <c r="Y53" s="713"/>
      <c r="Z53" s="710"/>
      <c r="AA53" s="711"/>
      <c r="AB53" s="716"/>
      <c r="AC53" s="719"/>
    </row>
    <row r="54" spans="1:29" x14ac:dyDescent="0.25">
      <c r="A54" s="23"/>
      <c r="B54" s="24"/>
      <c r="C54" s="25"/>
      <c r="D54" s="27"/>
      <c r="E54" s="27"/>
      <c r="F54" s="28"/>
      <c r="G54" s="27"/>
      <c r="H54" s="548"/>
      <c r="I54" s="27"/>
      <c r="J54" s="737"/>
      <c r="K54" s="635"/>
      <c r="L54" s="635"/>
      <c r="M54" s="635"/>
      <c r="N54" s="635"/>
      <c r="O54" s="636"/>
      <c r="P54" s="635"/>
      <c r="Q54" s="635"/>
      <c r="R54" s="636"/>
      <c r="S54" s="636"/>
      <c r="T54" s="635"/>
      <c r="U54" s="707"/>
      <c r="V54" s="707"/>
      <c r="W54" s="707"/>
      <c r="X54" s="636"/>
      <c r="Y54" s="636"/>
      <c r="Z54" s="637"/>
      <c r="AA54" s="635"/>
      <c r="AB54" s="707"/>
      <c r="AC54" s="644"/>
    </row>
    <row r="55" spans="1:29" x14ac:dyDescent="0.25">
      <c r="A55" s="23"/>
      <c r="B55" s="24"/>
      <c r="C55" s="25"/>
      <c r="D55" s="27"/>
      <c r="E55" s="27"/>
      <c r="F55" s="28"/>
      <c r="G55" s="27"/>
      <c r="H55" s="548"/>
      <c r="I55" s="27"/>
      <c r="J55" s="737"/>
      <c r="K55" s="635"/>
      <c r="L55" s="635"/>
      <c r="M55" s="635"/>
      <c r="N55" s="635"/>
      <c r="O55" s="636"/>
      <c r="P55" s="635"/>
      <c r="Q55" s="635"/>
      <c r="R55" s="636"/>
      <c r="S55" s="636"/>
      <c r="T55" s="635"/>
      <c r="U55" s="707"/>
      <c r="V55" s="707"/>
      <c r="W55" s="707"/>
      <c r="X55" s="636"/>
      <c r="Y55" s="636"/>
      <c r="Z55" s="637"/>
      <c r="AA55" s="635"/>
      <c r="AB55" s="707"/>
      <c r="AC55" s="644"/>
    </row>
    <row r="56" spans="1:29" x14ac:dyDescent="0.25">
      <c r="A56" s="23"/>
      <c r="B56" s="24"/>
      <c r="C56" s="25"/>
      <c r="D56" s="27"/>
      <c r="E56" s="27"/>
      <c r="F56" s="28"/>
      <c r="G56" s="27"/>
      <c r="H56" s="548"/>
      <c r="I56" s="27"/>
      <c r="J56" s="737"/>
      <c r="K56" s="635"/>
      <c r="L56" s="635"/>
      <c r="M56" s="635"/>
      <c r="N56" s="635"/>
      <c r="O56" s="636"/>
      <c r="P56" s="635"/>
      <c r="Q56" s="635"/>
      <c r="R56" s="636"/>
      <c r="S56" s="636"/>
      <c r="T56" s="635"/>
      <c r="U56" s="707"/>
      <c r="V56" s="707"/>
      <c r="W56" s="707"/>
      <c r="X56" s="636"/>
      <c r="Y56" s="636"/>
      <c r="Z56" s="637"/>
      <c r="AA56" s="635"/>
      <c r="AB56" s="707"/>
      <c r="AC56" s="644"/>
    </row>
    <row r="57" spans="1:29" x14ac:dyDescent="0.25">
      <c r="A57" s="23"/>
      <c r="B57" s="24"/>
      <c r="C57" s="25"/>
      <c r="D57" s="27"/>
      <c r="E57" s="27"/>
      <c r="F57" s="28"/>
      <c r="G57" s="27"/>
      <c r="H57" s="548"/>
      <c r="I57" s="27"/>
      <c r="J57" s="737"/>
      <c r="K57" s="635"/>
      <c r="L57" s="635"/>
      <c r="M57" s="635"/>
      <c r="N57" s="635"/>
      <c r="O57" s="636"/>
      <c r="P57" s="635"/>
      <c r="Q57" s="635"/>
      <c r="R57" s="636"/>
      <c r="S57" s="636"/>
      <c r="T57" s="635"/>
      <c r="U57" s="707"/>
      <c r="V57" s="707"/>
      <c r="W57" s="707"/>
      <c r="X57" s="636"/>
      <c r="Y57" s="636"/>
      <c r="Z57" s="637"/>
      <c r="AA57" s="635"/>
      <c r="AB57" s="707"/>
      <c r="AC57" s="644"/>
    </row>
    <row r="58" spans="1:29" x14ac:dyDescent="0.25">
      <c r="A58" s="23"/>
      <c r="B58" s="24"/>
      <c r="C58" s="25"/>
      <c r="D58" s="27"/>
      <c r="E58" s="27"/>
      <c r="F58" s="28"/>
      <c r="G58" s="27"/>
      <c r="H58" s="548"/>
      <c r="I58" s="27"/>
      <c r="J58" s="737"/>
      <c r="K58" s="635"/>
      <c r="L58" s="635"/>
      <c r="M58" s="635"/>
      <c r="N58" s="635"/>
      <c r="O58" s="636"/>
      <c r="P58" s="635"/>
      <c r="Q58" s="635"/>
      <c r="R58" s="636"/>
      <c r="S58" s="636"/>
      <c r="T58" s="635"/>
      <c r="U58" s="707"/>
      <c r="V58" s="707"/>
      <c r="W58" s="707"/>
      <c r="X58" s="636"/>
      <c r="Y58" s="636"/>
      <c r="Z58" s="637"/>
      <c r="AA58" s="635"/>
      <c r="AB58" s="707"/>
      <c r="AC58" s="644"/>
    </row>
    <row r="59" spans="1:29" x14ac:dyDescent="0.25">
      <c r="A59" s="45"/>
      <c r="B59" s="672"/>
      <c r="C59" s="673"/>
      <c r="D59" s="413"/>
      <c r="E59" s="413"/>
      <c r="F59" s="674"/>
      <c r="G59" s="413"/>
      <c r="H59" s="548"/>
      <c r="I59" s="413"/>
      <c r="J59" s="736"/>
      <c r="K59" s="711"/>
      <c r="L59" s="711"/>
      <c r="M59" s="711"/>
      <c r="N59" s="711"/>
      <c r="O59" s="713"/>
      <c r="P59" s="711"/>
      <c r="Q59" s="711"/>
      <c r="R59" s="713"/>
      <c r="S59" s="713"/>
      <c r="T59" s="711"/>
      <c r="U59" s="716"/>
      <c r="V59" s="716"/>
      <c r="W59" s="716"/>
      <c r="X59" s="713"/>
      <c r="Y59" s="713"/>
      <c r="Z59" s="710"/>
      <c r="AA59" s="711"/>
      <c r="AB59" s="716"/>
      <c r="AC59" s="719"/>
    </row>
    <row r="60" spans="1:29" x14ac:dyDescent="0.25">
      <c r="A60" s="45"/>
      <c r="B60" s="672"/>
      <c r="C60" s="673"/>
      <c r="D60" s="413"/>
      <c r="E60" s="413"/>
      <c r="F60" s="674"/>
      <c r="G60" s="413"/>
      <c r="H60" s="548"/>
      <c r="I60" s="413"/>
      <c r="J60" s="736"/>
      <c r="K60" s="711"/>
      <c r="L60" s="711"/>
      <c r="M60" s="711"/>
      <c r="N60" s="711"/>
      <c r="O60" s="713"/>
      <c r="P60" s="711"/>
      <c r="Q60" s="711"/>
      <c r="R60" s="713"/>
      <c r="S60" s="713"/>
      <c r="T60" s="711"/>
      <c r="U60" s="716"/>
      <c r="V60" s="716"/>
      <c r="W60" s="716"/>
      <c r="X60" s="713"/>
      <c r="Y60" s="713"/>
      <c r="Z60" s="710"/>
      <c r="AA60" s="711"/>
      <c r="AB60" s="716"/>
      <c r="AC60" s="719"/>
    </row>
    <row r="61" spans="1:29" x14ac:dyDescent="0.25">
      <c r="A61" s="45"/>
      <c r="B61" s="672"/>
      <c r="C61" s="673"/>
      <c r="D61" s="413"/>
      <c r="E61" s="413"/>
      <c r="F61" s="674"/>
      <c r="G61" s="413"/>
      <c r="H61" s="548"/>
      <c r="I61" s="413"/>
      <c r="J61" s="736"/>
      <c r="K61" s="711"/>
      <c r="L61" s="711"/>
      <c r="M61" s="711"/>
      <c r="N61" s="711"/>
      <c r="O61" s="713"/>
      <c r="P61" s="711"/>
      <c r="Q61" s="711"/>
      <c r="R61" s="713"/>
      <c r="S61" s="713"/>
      <c r="T61" s="711"/>
      <c r="U61" s="716"/>
      <c r="V61" s="716"/>
      <c r="W61" s="716"/>
      <c r="X61" s="713"/>
      <c r="Y61" s="713"/>
      <c r="Z61" s="710"/>
      <c r="AA61" s="711"/>
      <c r="AB61" s="716"/>
      <c r="AC61" s="719"/>
    </row>
    <row r="62" spans="1:29" x14ac:dyDescent="0.25">
      <c r="A62" s="45"/>
      <c r="B62" s="672"/>
      <c r="C62" s="673"/>
      <c r="D62" s="413"/>
      <c r="E62" s="413"/>
      <c r="F62" s="674"/>
      <c r="G62" s="413"/>
      <c r="H62" s="548"/>
      <c r="I62" s="413"/>
      <c r="J62" s="736"/>
      <c r="K62" s="711"/>
      <c r="L62" s="711"/>
      <c r="M62" s="711"/>
      <c r="N62" s="711"/>
      <c r="O62" s="713"/>
      <c r="P62" s="711"/>
      <c r="Q62" s="711"/>
      <c r="R62" s="713"/>
      <c r="S62" s="713"/>
      <c r="T62" s="711"/>
      <c r="U62" s="716"/>
      <c r="V62" s="716"/>
      <c r="W62" s="716"/>
      <c r="X62" s="713"/>
      <c r="Y62" s="713"/>
      <c r="Z62" s="710"/>
      <c r="AA62" s="711"/>
      <c r="AB62" s="716"/>
      <c r="AC62" s="719"/>
    </row>
    <row r="63" spans="1:29" x14ac:dyDescent="0.25">
      <c r="A63" s="45"/>
      <c r="B63" s="672"/>
      <c r="C63" s="673"/>
      <c r="D63" s="413"/>
      <c r="E63" s="413"/>
      <c r="F63" s="674"/>
      <c r="G63" s="413"/>
      <c r="H63" s="548"/>
      <c r="I63" s="413"/>
      <c r="J63" s="736"/>
      <c r="K63" s="711"/>
      <c r="L63" s="711"/>
      <c r="M63" s="711"/>
      <c r="N63" s="711"/>
      <c r="O63" s="713"/>
      <c r="P63" s="711"/>
      <c r="Q63" s="711"/>
      <c r="R63" s="713"/>
      <c r="S63" s="713"/>
      <c r="T63" s="711"/>
      <c r="U63" s="716"/>
      <c r="V63" s="716"/>
      <c r="W63" s="716"/>
      <c r="X63" s="713"/>
      <c r="Y63" s="713"/>
      <c r="Z63" s="710"/>
      <c r="AA63" s="711"/>
      <c r="AB63" s="716"/>
      <c r="AC63" s="719"/>
    </row>
    <row r="64" spans="1:29" x14ac:dyDescent="0.25">
      <c r="A64" s="23"/>
      <c r="B64" s="24"/>
      <c r="C64" s="25"/>
      <c r="D64" s="27"/>
      <c r="E64" s="27"/>
      <c r="F64" s="28"/>
      <c r="G64" s="27"/>
      <c r="H64" s="548"/>
      <c r="I64" s="27"/>
      <c r="J64" s="737"/>
      <c r="K64" s="635"/>
      <c r="L64" s="635"/>
      <c r="M64" s="635"/>
      <c r="N64" s="635"/>
      <c r="O64" s="636"/>
      <c r="P64" s="635"/>
      <c r="Q64" s="635"/>
      <c r="R64" s="636"/>
      <c r="S64" s="636"/>
      <c r="T64" s="635"/>
      <c r="U64" s="707"/>
      <c r="V64" s="707"/>
      <c r="W64" s="707"/>
      <c r="X64" s="636"/>
      <c r="Y64" s="636"/>
      <c r="Z64" s="637"/>
      <c r="AA64" s="635"/>
      <c r="AB64" s="707"/>
      <c r="AC64" s="644"/>
    </row>
    <row r="65" spans="1:29" x14ac:dyDescent="0.25">
      <c r="A65" s="23"/>
      <c r="B65" s="24"/>
      <c r="C65" s="25"/>
      <c r="D65" s="27"/>
      <c r="E65" s="27"/>
      <c r="F65" s="28"/>
      <c r="G65" s="27"/>
      <c r="H65" s="548"/>
      <c r="I65" s="27"/>
      <c r="J65" s="737"/>
      <c r="K65" s="635"/>
      <c r="L65" s="635"/>
      <c r="M65" s="635"/>
      <c r="N65" s="635"/>
      <c r="O65" s="636"/>
      <c r="P65" s="635"/>
      <c r="Q65" s="635"/>
      <c r="R65" s="636"/>
      <c r="S65" s="636"/>
      <c r="T65" s="635"/>
      <c r="U65" s="707"/>
      <c r="V65" s="707"/>
      <c r="W65" s="707"/>
      <c r="X65" s="636"/>
      <c r="Y65" s="636"/>
      <c r="Z65" s="637"/>
      <c r="AA65" s="635"/>
      <c r="AB65" s="707"/>
      <c r="AC65" s="644"/>
    </row>
    <row r="66" spans="1:29" x14ac:dyDescent="0.25">
      <c r="A66" s="23"/>
      <c r="B66" s="24"/>
      <c r="C66" s="25"/>
      <c r="D66" s="27"/>
      <c r="E66" s="27"/>
      <c r="F66" s="28"/>
      <c r="G66" s="27"/>
      <c r="H66" s="548"/>
      <c r="I66" s="27"/>
      <c r="J66" s="737"/>
      <c r="K66" s="635"/>
      <c r="L66" s="635"/>
      <c r="M66" s="635"/>
      <c r="N66" s="635"/>
      <c r="O66" s="636"/>
      <c r="P66" s="635"/>
      <c r="Q66" s="635"/>
      <c r="R66" s="636"/>
      <c r="S66" s="636"/>
      <c r="T66" s="635"/>
      <c r="U66" s="707"/>
      <c r="V66" s="707"/>
      <c r="W66" s="707"/>
      <c r="X66" s="636"/>
      <c r="Y66" s="636"/>
      <c r="Z66" s="637"/>
      <c r="AA66" s="635"/>
      <c r="AB66" s="707"/>
      <c r="AC66" s="644"/>
    </row>
    <row r="67" spans="1:29" x14ac:dyDescent="0.25">
      <c r="A67" s="23"/>
      <c r="B67" s="24"/>
      <c r="C67" s="25"/>
      <c r="D67" s="27"/>
      <c r="E67" s="27"/>
      <c r="F67" s="28"/>
      <c r="G67" s="27"/>
      <c r="H67" s="548"/>
      <c r="I67" s="27"/>
      <c r="J67" s="737"/>
      <c r="K67" s="635"/>
      <c r="L67" s="635"/>
      <c r="M67" s="635"/>
      <c r="N67" s="635"/>
      <c r="O67" s="636"/>
      <c r="P67" s="635"/>
      <c r="Q67" s="635"/>
      <c r="R67" s="636"/>
      <c r="S67" s="636"/>
      <c r="T67" s="635"/>
      <c r="U67" s="707"/>
      <c r="V67" s="707"/>
      <c r="W67" s="707"/>
      <c r="X67" s="636"/>
      <c r="Y67" s="636"/>
      <c r="Z67" s="637"/>
      <c r="AA67" s="635"/>
      <c r="AB67" s="707"/>
      <c r="AC67" s="644"/>
    </row>
    <row r="68" spans="1:29" x14ac:dyDescent="0.25">
      <c r="A68" s="23"/>
      <c r="B68" s="24"/>
      <c r="C68" s="25"/>
      <c r="D68" s="27"/>
      <c r="E68" s="27"/>
      <c r="F68" s="28"/>
      <c r="G68" s="27"/>
      <c r="H68" s="548"/>
      <c r="I68" s="27"/>
      <c r="J68" s="737"/>
      <c r="K68" s="635"/>
      <c r="L68" s="635"/>
      <c r="M68" s="635"/>
      <c r="N68" s="635"/>
      <c r="O68" s="636"/>
      <c r="P68" s="635"/>
      <c r="Q68" s="635"/>
      <c r="R68" s="636"/>
      <c r="S68" s="636"/>
      <c r="T68" s="635"/>
      <c r="U68" s="707"/>
      <c r="V68" s="707"/>
      <c r="W68" s="707"/>
      <c r="X68" s="636"/>
      <c r="Y68" s="636"/>
      <c r="Z68" s="637"/>
      <c r="AA68" s="635"/>
      <c r="AB68" s="707"/>
      <c r="AC68" s="644"/>
    </row>
    <row r="69" spans="1:29" x14ac:dyDescent="0.25">
      <c r="A69" s="45"/>
      <c r="B69" s="672"/>
      <c r="C69" s="673"/>
      <c r="D69" s="413"/>
      <c r="E69" s="413"/>
      <c r="F69" s="674"/>
      <c r="G69" s="413"/>
      <c r="H69" s="548"/>
      <c r="I69" s="413"/>
      <c r="J69" s="736"/>
      <c r="K69" s="711"/>
      <c r="L69" s="711"/>
      <c r="M69" s="711"/>
      <c r="N69" s="711"/>
      <c r="O69" s="713"/>
      <c r="P69" s="711"/>
      <c r="Q69" s="711"/>
      <c r="R69" s="713"/>
      <c r="S69" s="713"/>
      <c r="T69" s="711"/>
      <c r="U69" s="716"/>
      <c r="V69" s="716"/>
      <c r="W69" s="716"/>
      <c r="X69" s="713"/>
      <c r="Y69" s="713"/>
      <c r="Z69" s="710"/>
      <c r="AA69" s="711"/>
      <c r="AB69" s="716"/>
      <c r="AC69" s="719"/>
    </row>
    <row r="70" spans="1:29" x14ac:dyDescent="0.25">
      <c r="A70" s="45"/>
      <c r="B70" s="672"/>
      <c r="C70" s="673"/>
      <c r="D70" s="413"/>
      <c r="E70" s="413"/>
      <c r="F70" s="674"/>
      <c r="G70" s="413"/>
      <c r="H70" s="548"/>
      <c r="I70" s="413"/>
      <c r="J70" s="736"/>
      <c r="K70" s="711"/>
      <c r="L70" s="711"/>
      <c r="M70" s="711"/>
      <c r="N70" s="711"/>
      <c r="O70" s="713"/>
      <c r="P70" s="711"/>
      <c r="Q70" s="711"/>
      <c r="R70" s="713"/>
      <c r="S70" s="713"/>
      <c r="T70" s="711"/>
      <c r="U70" s="716"/>
      <c r="V70" s="716"/>
      <c r="W70" s="716"/>
      <c r="X70" s="713"/>
      <c r="Y70" s="713"/>
      <c r="Z70" s="710"/>
      <c r="AA70" s="711"/>
      <c r="AB70" s="716"/>
      <c r="AC70" s="719"/>
    </row>
    <row r="71" spans="1:29" x14ac:dyDescent="0.25">
      <c r="A71" s="45"/>
      <c r="B71" s="672"/>
      <c r="C71" s="673"/>
      <c r="D71" s="413"/>
      <c r="E71" s="413"/>
      <c r="F71" s="674"/>
      <c r="G71" s="413"/>
      <c r="H71" s="548"/>
      <c r="I71" s="413"/>
      <c r="J71" s="736"/>
      <c r="K71" s="711"/>
      <c r="L71" s="711"/>
      <c r="M71" s="711"/>
      <c r="N71" s="711"/>
      <c r="O71" s="713"/>
      <c r="P71" s="711"/>
      <c r="Q71" s="711"/>
      <c r="R71" s="713"/>
      <c r="S71" s="713"/>
      <c r="T71" s="711"/>
      <c r="U71" s="716"/>
      <c r="V71" s="716"/>
      <c r="W71" s="716"/>
      <c r="X71" s="713"/>
      <c r="Y71" s="713"/>
      <c r="Z71" s="710"/>
      <c r="AA71" s="711"/>
      <c r="AB71" s="716"/>
      <c r="AC71" s="719"/>
    </row>
    <row r="72" spans="1:29" x14ac:dyDescent="0.25">
      <c r="A72" s="45"/>
      <c r="B72" s="672"/>
      <c r="C72" s="673"/>
      <c r="D72" s="413"/>
      <c r="E72" s="413"/>
      <c r="F72" s="674"/>
      <c r="G72" s="413"/>
      <c r="H72" s="548"/>
      <c r="I72" s="413"/>
      <c r="J72" s="736"/>
      <c r="K72" s="711"/>
      <c r="L72" s="711"/>
      <c r="M72" s="711"/>
      <c r="N72" s="711"/>
      <c r="O72" s="713"/>
      <c r="P72" s="711"/>
      <c r="Q72" s="711"/>
      <c r="R72" s="713"/>
      <c r="S72" s="713"/>
      <c r="T72" s="711"/>
      <c r="U72" s="716"/>
      <c r="V72" s="716"/>
      <c r="W72" s="716"/>
      <c r="X72" s="713"/>
      <c r="Y72" s="713"/>
      <c r="Z72" s="710"/>
      <c r="AA72" s="711"/>
      <c r="AB72" s="716"/>
      <c r="AC72" s="719"/>
    </row>
    <row r="73" spans="1:29" x14ac:dyDescent="0.25">
      <c r="A73" s="45"/>
      <c r="B73" s="672"/>
      <c r="C73" s="673"/>
      <c r="D73" s="413"/>
      <c r="E73" s="413"/>
      <c r="F73" s="674"/>
      <c r="G73" s="413"/>
      <c r="H73" s="548"/>
      <c r="I73" s="413"/>
      <c r="J73" s="736"/>
      <c r="K73" s="711"/>
      <c r="L73" s="711"/>
      <c r="M73" s="711"/>
      <c r="N73" s="711"/>
      <c r="O73" s="713"/>
      <c r="P73" s="711"/>
      <c r="Q73" s="711"/>
      <c r="R73" s="713"/>
      <c r="S73" s="713"/>
      <c r="T73" s="711"/>
      <c r="U73" s="716"/>
      <c r="V73" s="716"/>
      <c r="W73" s="716"/>
      <c r="X73" s="713"/>
      <c r="Y73" s="713"/>
      <c r="Z73" s="710"/>
      <c r="AA73" s="711"/>
      <c r="AB73" s="716"/>
      <c r="AC73" s="719"/>
    </row>
    <row r="74" spans="1:29" x14ac:dyDescent="0.25">
      <c r="A74" s="23"/>
      <c r="B74" s="24"/>
      <c r="C74" s="25"/>
      <c r="D74" s="27"/>
      <c r="E74" s="27"/>
      <c r="F74" s="28"/>
      <c r="G74" s="27"/>
      <c r="H74" s="548"/>
      <c r="I74" s="27"/>
      <c r="J74" s="737"/>
      <c r="K74" s="635"/>
      <c r="L74" s="635"/>
      <c r="M74" s="635"/>
      <c r="N74" s="635"/>
      <c r="O74" s="636"/>
      <c r="P74" s="635"/>
      <c r="Q74" s="635"/>
      <c r="R74" s="636"/>
      <c r="S74" s="636"/>
      <c r="T74" s="635"/>
      <c r="U74" s="707"/>
      <c r="V74" s="707"/>
      <c r="W74" s="707"/>
      <c r="X74" s="636"/>
      <c r="Y74" s="636"/>
      <c r="Z74" s="637"/>
      <c r="AA74" s="635"/>
      <c r="AB74" s="707"/>
      <c r="AC74" s="644"/>
    </row>
    <row r="75" spans="1:29" x14ac:dyDescent="0.25">
      <c r="A75" s="23"/>
      <c r="B75" s="24"/>
      <c r="C75" s="25"/>
      <c r="D75" s="27"/>
      <c r="E75" s="27"/>
      <c r="F75" s="28"/>
      <c r="G75" s="27"/>
      <c r="H75" s="548"/>
      <c r="I75" s="27"/>
      <c r="J75" s="737"/>
      <c r="K75" s="635"/>
      <c r="L75" s="635"/>
      <c r="M75" s="635"/>
      <c r="N75" s="635"/>
      <c r="O75" s="636"/>
      <c r="P75" s="635"/>
      <c r="Q75" s="635"/>
      <c r="R75" s="636"/>
      <c r="S75" s="636"/>
      <c r="T75" s="635"/>
      <c r="U75" s="707"/>
      <c r="V75" s="707"/>
      <c r="W75" s="707"/>
      <c r="X75" s="636"/>
      <c r="Y75" s="636"/>
      <c r="Z75" s="637"/>
      <c r="AA75" s="635"/>
      <c r="AB75" s="707"/>
      <c r="AC75" s="644"/>
    </row>
    <row r="76" spans="1:29" x14ac:dyDescent="0.25">
      <c r="A76" s="23"/>
      <c r="B76" s="24"/>
      <c r="C76" s="25"/>
      <c r="D76" s="27"/>
      <c r="E76" s="27"/>
      <c r="F76" s="28"/>
      <c r="G76" s="27"/>
      <c r="H76" s="548"/>
      <c r="I76" s="27"/>
      <c r="J76" s="737"/>
      <c r="K76" s="635"/>
      <c r="L76" s="635"/>
      <c r="M76" s="635"/>
      <c r="N76" s="635"/>
      <c r="O76" s="636"/>
      <c r="P76" s="635"/>
      <c r="Q76" s="635"/>
      <c r="R76" s="636"/>
      <c r="S76" s="636"/>
      <c r="T76" s="635"/>
      <c r="U76" s="707"/>
      <c r="V76" s="707"/>
      <c r="W76" s="707"/>
      <c r="X76" s="636"/>
      <c r="Y76" s="636"/>
      <c r="Z76" s="637"/>
      <c r="AA76" s="635"/>
      <c r="AB76" s="707"/>
      <c r="AC76" s="644"/>
    </row>
    <row r="77" spans="1:29" x14ac:dyDescent="0.25">
      <c r="A77" s="23"/>
      <c r="B77" s="24"/>
      <c r="C77" s="25"/>
      <c r="D77" s="27"/>
      <c r="E77" s="27"/>
      <c r="F77" s="28"/>
      <c r="G77" s="27"/>
      <c r="H77" s="548"/>
      <c r="I77" s="27"/>
      <c r="J77" s="737"/>
      <c r="K77" s="635"/>
      <c r="L77" s="635"/>
      <c r="M77" s="635"/>
      <c r="N77" s="635"/>
      <c r="O77" s="636"/>
      <c r="P77" s="635"/>
      <c r="Q77" s="635"/>
      <c r="R77" s="636"/>
      <c r="S77" s="636"/>
      <c r="T77" s="635"/>
      <c r="U77" s="707"/>
      <c r="V77" s="707"/>
      <c r="W77" s="707"/>
      <c r="X77" s="636"/>
      <c r="Y77" s="636"/>
      <c r="Z77" s="637"/>
      <c r="AA77" s="635"/>
      <c r="AB77" s="707"/>
      <c r="AC77" s="644"/>
    </row>
    <row r="78" spans="1:29" x14ac:dyDescent="0.25">
      <c r="A78" s="23"/>
      <c r="B78" s="24"/>
      <c r="C78" s="25"/>
      <c r="D78" s="27"/>
      <c r="E78" s="27"/>
      <c r="F78" s="28"/>
      <c r="G78" s="27"/>
      <c r="H78" s="548"/>
      <c r="I78" s="27"/>
      <c r="J78" s="737"/>
      <c r="K78" s="635"/>
      <c r="L78" s="635"/>
      <c r="M78" s="635"/>
      <c r="N78" s="635"/>
      <c r="O78" s="636"/>
      <c r="P78" s="635"/>
      <c r="Q78" s="635"/>
      <c r="R78" s="636"/>
      <c r="S78" s="636"/>
      <c r="T78" s="635"/>
      <c r="U78" s="707"/>
      <c r="V78" s="707"/>
      <c r="W78" s="707"/>
      <c r="X78" s="636"/>
      <c r="Y78" s="636"/>
      <c r="Z78" s="637"/>
      <c r="AA78" s="635"/>
      <c r="AB78" s="707"/>
      <c r="AC78" s="644"/>
    </row>
    <row r="79" spans="1:29" x14ac:dyDescent="0.25">
      <c r="A79" s="45"/>
      <c r="B79" s="672"/>
      <c r="C79" s="673"/>
      <c r="D79" s="413"/>
      <c r="E79" s="413"/>
      <c r="F79" s="674"/>
      <c r="G79" s="413"/>
      <c r="H79" s="548"/>
      <c r="I79" s="413"/>
      <c r="J79" s="736"/>
      <c r="K79" s="711"/>
      <c r="L79" s="711"/>
      <c r="M79" s="711"/>
      <c r="N79" s="711"/>
      <c r="O79" s="713"/>
      <c r="P79" s="711"/>
      <c r="Q79" s="711"/>
      <c r="R79" s="713"/>
      <c r="S79" s="713"/>
      <c r="T79" s="711"/>
      <c r="U79" s="716"/>
      <c r="V79" s="716"/>
      <c r="W79" s="716"/>
      <c r="X79" s="713"/>
      <c r="Y79" s="713"/>
      <c r="Z79" s="710"/>
      <c r="AA79" s="711"/>
      <c r="AB79" s="716"/>
      <c r="AC79" s="719"/>
    </row>
    <row r="80" spans="1:29" x14ac:dyDescent="0.25">
      <c r="A80" s="45"/>
      <c r="B80" s="672"/>
      <c r="C80" s="673"/>
      <c r="D80" s="413"/>
      <c r="E80" s="413"/>
      <c r="F80" s="674"/>
      <c r="G80" s="413"/>
      <c r="H80" s="548"/>
      <c r="I80" s="413"/>
      <c r="J80" s="736"/>
      <c r="K80" s="711"/>
      <c r="L80" s="711"/>
      <c r="M80" s="711"/>
      <c r="N80" s="711"/>
      <c r="O80" s="713"/>
      <c r="P80" s="711"/>
      <c r="Q80" s="711"/>
      <c r="R80" s="713"/>
      <c r="S80" s="713"/>
      <c r="T80" s="711"/>
      <c r="U80" s="716"/>
      <c r="V80" s="716"/>
      <c r="W80" s="716"/>
      <c r="X80" s="713"/>
      <c r="Y80" s="713"/>
      <c r="Z80" s="710"/>
      <c r="AA80" s="711"/>
      <c r="AB80" s="716"/>
      <c r="AC80" s="719"/>
    </row>
    <row r="81" spans="1:29" x14ac:dyDescent="0.25">
      <c r="A81" s="45"/>
      <c r="B81" s="672"/>
      <c r="C81" s="673"/>
      <c r="D81" s="413"/>
      <c r="E81" s="413"/>
      <c r="F81" s="674"/>
      <c r="G81" s="413"/>
      <c r="H81" s="548"/>
      <c r="I81" s="413"/>
      <c r="J81" s="736"/>
      <c r="K81" s="711"/>
      <c r="L81" s="711"/>
      <c r="M81" s="711"/>
      <c r="N81" s="711"/>
      <c r="O81" s="713"/>
      <c r="P81" s="711"/>
      <c r="Q81" s="711"/>
      <c r="R81" s="713"/>
      <c r="S81" s="713"/>
      <c r="T81" s="711"/>
      <c r="U81" s="716"/>
      <c r="V81" s="716"/>
      <c r="W81" s="716"/>
      <c r="X81" s="713"/>
      <c r="Y81" s="713"/>
      <c r="Z81" s="710"/>
      <c r="AA81" s="711"/>
      <c r="AB81" s="716"/>
      <c r="AC81" s="719"/>
    </row>
    <row r="82" spans="1:29" x14ac:dyDescent="0.25">
      <c r="A82" s="45"/>
      <c r="B82" s="672"/>
      <c r="C82" s="673"/>
      <c r="D82" s="413"/>
      <c r="E82" s="413"/>
      <c r="F82" s="674"/>
      <c r="G82" s="413"/>
      <c r="H82" s="548"/>
      <c r="I82" s="413"/>
      <c r="J82" s="736"/>
      <c r="K82" s="711"/>
      <c r="L82" s="711"/>
      <c r="M82" s="711"/>
      <c r="N82" s="711"/>
      <c r="O82" s="713"/>
      <c r="P82" s="711"/>
      <c r="Q82" s="711"/>
      <c r="R82" s="713"/>
      <c r="S82" s="713"/>
      <c r="T82" s="711"/>
      <c r="U82" s="716"/>
      <c r="V82" s="716"/>
      <c r="W82" s="716"/>
      <c r="X82" s="713"/>
      <c r="Y82" s="713"/>
      <c r="Z82" s="710"/>
      <c r="AA82" s="711"/>
      <c r="AB82" s="716"/>
      <c r="AC82" s="719"/>
    </row>
    <row r="83" spans="1:29" x14ac:dyDescent="0.25">
      <c r="A83" s="45"/>
      <c r="B83" s="672"/>
      <c r="C83" s="673"/>
      <c r="D83" s="413"/>
      <c r="E83" s="413"/>
      <c r="F83" s="674"/>
      <c r="G83" s="413"/>
      <c r="H83" s="548"/>
      <c r="I83" s="413"/>
      <c r="J83" s="736"/>
      <c r="K83" s="711"/>
      <c r="L83" s="711"/>
      <c r="M83" s="711"/>
      <c r="N83" s="711"/>
      <c r="O83" s="713"/>
      <c r="P83" s="711"/>
      <c r="Q83" s="711"/>
      <c r="R83" s="713"/>
      <c r="S83" s="713"/>
      <c r="T83" s="711"/>
      <c r="U83" s="716"/>
      <c r="V83" s="716"/>
      <c r="W83" s="716"/>
      <c r="X83" s="713"/>
      <c r="Y83" s="713"/>
      <c r="Z83" s="710"/>
      <c r="AA83" s="711"/>
      <c r="AB83" s="716"/>
      <c r="AC83" s="719"/>
    </row>
    <row r="84" spans="1:29" x14ac:dyDescent="0.25">
      <c r="A84" s="23"/>
      <c r="B84" s="24"/>
      <c r="C84" s="25"/>
      <c r="D84" s="27"/>
      <c r="E84" s="27"/>
      <c r="F84" s="28"/>
      <c r="G84" s="27"/>
      <c r="H84" s="548"/>
      <c r="I84" s="27"/>
      <c r="J84" s="737"/>
      <c r="K84" s="635"/>
      <c r="L84" s="635"/>
      <c r="M84" s="635"/>
      <c r="N84" s="635"/>
      <c r="O84" s="636"/>
      <c r="P84" s="635"/>
      <c r="Q84" s="635"/>
      <c r="R84" s="636"/>
      <c r="S84" s="636"/>
      <c r="T84" s="635"/>
      <c r="U84" s="707"/>
      <c r="V84" s="707"/>
      <c r="W84" s="707"/>
      <c r="X84" s="636"/>
      <c r="Y84" s="636"/>
      <c r="Z84" s="637"/>
      <c r="AA84" s="635"/>
      <c r="AB84" s="707"/>
      <c r="AC84" s="644"/>
    </row>
    <row r="85" spans="1:29" x14ac:dyDescent="0.25">
      <c r="A85" s="23"/>
      <c r="B85" s="24"/>
      <c r="C85" s="25"/>
      <c r="D85" s="27"/>
      <c r="E85" s="27"/>
      <c r="F85" s="28"/>
      <c r="G85" s="27"/>
      <c r="H85" s="548"/>
      <c r="I85" s="27"/>
      <c r="J85" s="737"/>
      <c r="K85" s="635"/>
      <c r="L85" s="635"/>
      <c r="M85" s="635"/>
      <c r="N85" s="635"/>
      <c r="O85" s="636"/>
      <c r="P85" s="635"/>
      <c r="Q85" s="635"/>
      <c r="R85" s="636"/>
      <c r="S85" s="636"/>
      <c r="T85" s="635"/>
      <c r="U85" s="707"/>
      <c r="V85" s="707"/>
      <c r="W85" s="707"/>
      <c r="X85" s="636"/>
      <c r="Y85" s="636"/>
      <c r="Z85" s="637"/>
      <c r="AA85" s="635"/>
      <c r="AB85" s="707"/>
      <c r="AC85" s="644"/>
    </row>
    <row r="86" spans="1:29" x14ac:dyDescent="0.25">
      <c r="A86" s="23"/>
      <c r="B86" s="24"/>
      <c r="C86" s="25"/>
      <c r="D86" s="27"/>
      <c r="E86" s="27"/>
      <c r="F86" s="28"/>
      <c r="G86" s="27"/>
      <c r="H86" s="548"/>
      <c r="I86" s="27"/>
      <c r="J86" s="737"/>
      <c r="K86" s="635"/>
      <c r="L86" s="635"/>
      <c r="M86" s="635"/>
      <c r="N86" s="635"/>
      <c r="O86" s="636"/>
      <c r="P86" s="635"/>
      <c r="Q86" s="635"/>
      <c r="R86" s="636"/>
      <c r="S86" s="636"/>
      <c r="T86" s="635"/>
      <c r="U86" s="707"/>
      <c r="V86" s="707"/>
      <c r="W86" s="707"/>
      <c r="X86" s="636"/>
      <c r="Y86" s="636"/>
      <c r="Z86" s="637"/>
      <c r="AA86" s="635"/>
      <c r="AB86" s="707"/>
      <c r="AC86" s="644"/>
    </row>
    <row r="87" spans="1:29" x14ac:dyDescent="0.25">
      <c r="A87" s="23"/>
      <c r="B87" s="24"/>
      <c r="C87" s="25"/>
      <c r="D87" s="27"/>
      <c r="E87" s="27"/>
      <c r="F87" s="28"/>
      <c r="G87" s="27"/>
      <c r="H87" s="548"/>
      <c r="I87" s="27"/>
      <c r="J87" s="737"/>
      <c r="K87" s="635"/>
      <c r="L87" s="635"/>
      <c r="M87" s="635"/>
      <c r="N87" s="635"/>
      <c r="O87" s="636"/>
      <c r="P87" s="635"/>
      <c r="Q87" s="635"/>
      <c r="R87" s="636"/>
      <c r="S87" s="636"/>
      <c r="T87" s="635"/>
      <c r="U87" s="707"/>
      <c r="V87" s="707"/>
      <c r="W87" s="707"/>
      <c r="X87" s="636"/>
      <c r="Y87" s="636"/>
      <c r="Z87" s="637"/>
      <c r="AA87" s="635"/>
      <c r="AB87" s="707"/>
      <c r="AC87" s="644"/>
    </row>
    <row r="88" spans="1:29" x14ac:dyDescent="0.25">
      <c r="A88" s="23"/>
      <c r="B88" s="24"/>
      <c r="C88" s="25"/>
      <c r="D88" s="27"/>
      <c r="E88" s="27"/>
      <c r="F88" s="28"/>
      <c r="G88" s="27"/>
      <c r="H88" s="548"/>
      <c r="I88" s="27"/>
      <c r="J88" s="737"/>
      <c r="K88" s="635"/>
      <c r="L88" s="635"/>
      <c r="M88" s="635"/>
      <c r="N88" s="635"/>
      <c r="O88" s="636"/>
      <c r="P88" s="635"/>
      <c r="Q88" s="635"/>
      <c r="R88" s="636"/>
      <c r="S88" s="636"/>
      <c r="T88" s="635"/>
      <c r="U88" s="707"/>
      <c r="V88" s="707"/>
      <c r="W88" s="707"/>
      <c r="X88" s="636"/>
      <c r="Y88" s="636"/>
      <c r="Z88" s="637"/>
      <c r="AA88" s="635"/>
      <c r="AB88" s="707"/>
      <c r="AC88" s="644"/>
    </row>
    <row r="89" spans="1:29" x14ac:dyDescent="0.25">
      <c r="A89" s="45"/>
      <c r="B89" s="672"/>
      <c r="C89" s="673"/>
      <c r="D89" s="413"/>
      <c r="E89" s="413"/>
      <c r="F89" s="674"/>
      <c r="G89" s="413"/>
      <c r="H89" s="548"/>
      <c r="I89" s="413"/>
      <c r="J89" s="736"/>
      <c r="K89" s="711"/>
      <c r="L89" s="711"/>
      <c r="M89" s="711"/>
      <c r="N89" s="711"/>
      <c r="O89" s="713"/>
      <c r="P89" s="711"/>
      <c r="Q89" s="711"/>
      <c r="R89" s="713"/>
      <c r="S89" s="713"/>
      <c r="T89" s="711"/>
      <c r="U89" s="716"/>
      <c r="V89" s="716"/>
      <c r="W89" s="716"/>
      <c r="X89" s="713"/>
      <c r="Y89" s="713"/>
      <c r="Z89" s="710"/>
      <c r="AA89" s="711"/>
      <c r="AB89" s="716"/>
      <c r="AC89" s="719"/>
    </row>
    <row r="90" spans="1:29" x14ac:dyDescent="0.25">
      <c r="A90" s="45"/>
      <c r="B90" s="672"/>
      <c r="C90" s="673"/>
      <c r="D90" s="413"/>
      <c r="E90" s="413"/>
      <c r="F90" s="674"/>
      <c r="G90" s="413"/>
      <c r="H90" s="548"/>
      <c r="I90" s="413"/>
      <c r="J90" s="736"/>
      <c r="K90" s="711"/>
      <c r="L90" s="711"/>
      <c r="M90" s="711"/>
      <c r="N90" s="711"/>
      <c r="O90" s="713"/>
      <c r="P90" s="711"/>
      <c r="Q90" s="711"/>
      <c r="R90" s="713"/>
      <c r="S90" s="713"/>
      <c r="T90" s="711"/>
      <c r="U90" s="716"/>
      <c r="V90" s="716"/>
      <c r="W90" s="716"/>
      <c r="X90" s="713"/>
      <c r="Y90" s="713"/>
      <c r="Z90" s="710"/>
      <c r="AA90" s="711"/>
      <c r="AB90" s="716"/>
      <c r="AC90" s="719"/>
    </row>
    <row r="91" spans="1:29" x14ac:dyDescent="0.25">
      <c r="A91" s="45"/>
      <c r="B91" s="672"/>
      <c r="C91" s="673"/>
      <c r="D91" s="413"/>
      <c r="E91" s="413"/>
      <c r="F91" s="674"/>
      <c r="G91" s="413"/>
      <c r="H91" s="548"/>
      <c r="I91" s="413"/>
      <c r="J91" s="736"/>
      <c r="K91" s="711"/>
      <c r="L91" s="711"/>
      <c r="M91" s="711"/>
      <c r="N91" s="711"/>
      <c r="O91" s="713"/>
      <c r="P91" s="711"/>
      <c r="Q91" s="711"/>
      <c r="R91" s="713"/>
      <c r="S91" s="713"/>
      <c r="T91" s="711"/>
      <c r="U91" s="716"/>
      <c r="V91" s="716"/>
      <c r="W91" s="716"/>
      <c r="X91" s="713"/>
      <c r="Y91" s="713"/>
      <c r="Z91" s="710"/>
      <c r="AA91" s="711"/>
      <c r="AB91" s="716"/>
      <c r="AC91" s="719"/>
    </row>
    <row r="92" spans="1:29" x14ac:dyDescent="0.25">
      <c r="A92" s="45"/>
      <c r="B92" s="672"/>
      <c r="C92" s="673"/>
      <c r="D92" s="413"/>
      <c r="E92" s="413"/>
      <c r="F92" s="674"/>
      <c r="G92" s="413"/>
      <c r="H92" s="548"/>
      <c r="I92" s="413"/>
      <c r="J92" s="736"/>
      <c r="K92" s="711"/>
      <c r="L92" s="711"/>
      <c r="M92" s="711"/>
      <c r="N92" s="711"/>
      <c r="O92" s="713"/>
      <c r="P92" s="711"/>
      <c r="Q92" s="711"/>
      <c r="R92" s="713"/>
      <c r="S92" s="713"/>
      <c r="T92" s="711"/>
      <c r="U92" s="716"/>
      <c r="V92" s="716"/>
      <c r="W92" s="716"/>
      <c r="X92" s="713"/>
      <c r="Y92" s="713"/>
      <c r="Z92" s="710"/>
      <c r="AA92" s="711"/>
      <c r="AB92" s="716"/>
      <c r="AC92" s="719"/>
    </row>
    <row r="93" spans="1:29" x14ac:dyDescent="0.25">
      <c r="A93" s="45"/>
      <c r="B93" s="672"/>
      <c r="C93" s="673"/>
      <c r="D93" s="413"/>
      <c r="E93" s="413"/>
      <c r="F93" s="674"/>
      <c r="G93" s="413"/>
      <c r="H93" s="548"/>
      <c r="I93" s="413"/>
      <c r="J93" s="736"/>
      <c r="K93" s="711"/>
      <c r="L93" s="711"/>
      <c r="M93" s="711"/>
      <c r="N93" s="711"/>
      <c r="O93" s="713"/>
      <c r="P93" s="711"/>
      <c r="Q93" s="711"/>
      <c r="R93" s="713"/>
      <c r="S93" s="713"/>
      <c r="T93" s="711"/>
      <c r="U93" s="716"/>
      <c r="V93" s="716"/>
      <c r="W93" s="716"/>
      <c r="X93" s="713"/>
      <c r="Y93" s="713"/>
      <c r="Z93" s="710"/>
      <c r="AA93" s="711"/>
      <c r="AB93" s="716"/>
      <c r="AC93" s="719"/>
    </row>
    <row r="94" spans="1:29" x14ac:dyDescent="0.25">
      <c r="A94" s="23"/>
      <c r="B94" s="24"/>
      <c r="C94" s="25"/>
      <c r="D94" s="27"/>
      <c r="E94" s="27"/>
      <c r="F94" s="28"/>
      <c r="G94" s="27"/>
      <c r="H94" s="548"/>
      <c r="I94" s="27"/>
      <c r="J94" s="737"/>
      <c r="K94" s="635"/>
      <c r="L94" s="635"/>
      <c r="M94" s="635"/>
      <c r="N94" s="635"/>
      <c r="O94" s="636"/>
      <c r="P94" s="635"/>
      <c r="Q94" s="635"/>
      <c r="R94" s="636"/>
      <c r="S94" s="636"/>
      <c r="T94" s="635"/>
      <c r="U94" s="707"/>
      <c r="V94" s="707"/>
      <c r="W94" s="707"/>
      <c r="X94" s="636"/>
      <c r="Y94" s="636"/>
      <c r="Z94" s="637"/>
      <c r="AA94" s="635"/>
      <c r="AB94" s="707"/>
      <c r="AC94" s="644"/>
    </row>
    <row r="95" spans="1:29" x14ac:dyDescent="0.25">
      <c r="A95" s="23"/>
      <c r="B95" s="24"/>
      <c r="C95" s="25"/>
      <c r="D95" s="27"/>
      <c r="E95" s="27"/>
      <c r="F95" s="28"/>
      <c r="G95" s="27"/>
      <c r="H95" s="548"/>
      <c r="I95" s="27"/>
      <c r="J95" s="737"/>
      <c r="K95" s="635"/>
      <c r="L95" s="635"/>
      <c r="M95" s="635"/>
      <c r="N95" s="635"/>
      <c r="O95" s="636"/>
      <c r="P95" s="635"/>
      <c r="Q95" s="635"/>
      <c r="R95" s="636"/>
      <c r="S95" s="636"/>
      <c r="T95" s="635"/>
      <c r="U95" s="707"/>
      <c r="V95" s="707"/>
      <c r="W95" s="707"/>
      <c r="X95" s="636"/>
      <c r="Y95" s="636"/>
      <c r="Z95" s="637"/>
      <c r="AA95" s="635"/>
      <c r="AB95" s="707"/>
      <c r="AC95" s="644"/>
    </row>
    <row r="96" spans="1:29" x14ac:dyDescent="0.25">
      <c r="A96" s="23"/>
      <c r="B96" s="24"/>
      <c r="C96" s="25"/>
      <c r="D96" s="27"/>
      <c r="E96" s="27"/>
      <c r="F96" s="28"/>
      <c r="G96" s="27"/>
      <c r="H96" s="548"/>
      <c r="I96" s="27"/>
      <c r="J96" s="737"/>
      <c r="K96" s="635"/>
      <c r="L96" s="635"/>
      <c r="M96" s="635"/>
      <c r="N96" s="635"/>
      <c r="O96" s="636"/>
      <c r="P96" s="635"/>
      <c r="Q96" s="635"/>
      <c r="R96" s="636"/>
      <c r="S96" s="636"/>
      <c r="T96" s="635"/>
      <c r="U96" s="707"/>
      <c r="V96" s="707"/>
      <c r="W96" s="707"/>
      <c r="X96" s="636"/>
      <c r="Y96" s="636"/>
      <c r="Z96" s="637"/>
      <c r="AA96" s="635"/>
      <c r="AB96" s="707"/>
      <c r="AC96" s="644"/>
    </row>
    <row r="97" spans="1:29" x14ac:dyDescent="0.25">
      <c r="A97" s="23"/>
      <c r="B97" s="24"/>
      <c r="C97" s="25"/>
      <c r="D97" s="27"/>
      <c r="E97" s="27"/>
      <c r="F97" s="28"/>
      <c r="G97" s="27"/>
      <c r="H97" s="548"/>
      <c r="I97" s="27"/>
      <c r="J97" s="737"/>
      <c r="K97" s="635"/>
      <c r="L97" s="635"/>
      <c r="M97" s="635"/>
      <c r="N97" s="635"/>
      <c r="O97" s="636"/>
      <c r="P97" s="635"/>
      <c r="Q97" s="635"/>
      <c r="R97" s="636"/>
      <c r="S97" s="636"/>
      <c r="T97" s="635"/>
      <c r="U97" s="707"/>
      <c r="V97" s="707"/>
      <c r="W97" s="707"/>
      <c r="X97" s="636"/>
      <c r="Y97" s="636"/>
      <c r="Z97" s="637"/>
      <c r="AA97" s="635"/>
      <c r="AB97" s="707"/>
      <c r="AC97" s="644"/>
    </row>
    <row r="98" spans="1:29" x14ac:dyDescent="0.25">
      <c r="A98" s="23"/>
      <c r="B98" s="24"/>
      <c r="C98" s="25"/>
      <c r="D98" s="27"/>
      <c r="E98" s="27"/>
      <c r="F98" s="28"/>
      <c r="G98" s="27"/>
      <c r="H98" s="548"/>
      <c r="I98" s="27"/>
      <c r="J98" s="737"/>
      <c r="K98" s="635"/>
      <c r="L98" s="635"/>
      <c r="M98" s="635"/>
      <c r="N98" s="635"/>
      <c r="O98" s="636"/>
      <c r="P98" s="635"/>
      <c r="Q98" s="635"/>
      <c r="R98" s="636"/>
      <c r="S98" s="636"/>
      <c r="T98" s="635"/>
      <c r="U98" s="707"/>
      <c r="V98" s="707"/>
      <c r="W98" s="707"/>
      <c r="X98" s="636"/>
      <c r="Y98" s="636"/>
      <c r="Z98" s="637"/>
      <c r="AA98" s="635"/>
      <c r="AB98" s="707"/>
      <c r="AC98" s="644"/>
    </row>
    <row r="99" spans="1:29" x14ac:dyDescent="0.25">
      <c r="A99" s="45"/>
      <c r="B99" s="672"/>
      <c r="C99" s="673"/>
      <c r="D99" s="413"/>
      <c r="E99" s="413"/>
      <c r="F99" s="674"/>
      <c r="G99" s="413"/>
      <c r="H99" s="548"/>
      <c r="I99" s="413"/>
      <c r="J99" s="736"/>
      <c r="K99" s="711"/>
      <c r="L99" s="711"/>
      <c r="M99" s="711"/>
      <c r="N99" s="711"/>
      <c r="O99" s="713"/>
      <c r="P99" s="711"/>
      <c r="Q99" s="711"/>
      <c r="R99" s="713"/>
      <c r="S99" s="713"/>
      <c r="T99" s="711"/>
      <c r="U99" s="716"/>
      <c r="V99" s="716"/>
      <c r="W99" s="716"/>
      <c r="X99" s="713"/>
      <c r="Y99" s="713"/>
      <c r="Z99" s="710"/>
      <c r="AA99" s="711"/>
      <c r="AB99" s="716"/>
      <c r="AC99" s="719"/>
    </row>
    <row r="100" spans="1:29" x14ac:dyDescent="0.25">
      <c r="A100" s="45"/>
      <c r="B100" s="672"/>
      <c r="C100" s="673"/>
      <c r="D100" s="413"/>
      <c r="E100" s="413"/>
      <c r="F100" s="674"/>
      <c r="G100" s="413"/>
      <c r="H100" s="548"/>
      <c r="I100" s="413"/>
      <c r="J100" s="736"/>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5">
      <c r="A101" s="45"/>
      <c r="B101" s="672"/>
      <c r="C101" s="673"/>
      <c r="D101" s="413"/>
      <c r="E101" s="413"/>
      <c r="F101" s="674"/>
      <c r="G101" s="413"/>
      <c r="H101" s="548"/>
      <c r="I101" s="413"/>
      <c r="J101" s="736"/>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5">
      <c r="A102" s="45"/>
      <c r="B102" s="672"/>
      <c r="C102" s="673"/>
      <c r="D102" s="413"/>
      <c r="E102" s="413"/>
      <c r="F102" s="674"/>
      <c r="G102" s="413"/>
      <c r="H102" s="548"/>
      <c r="I102" s="413"/>
      <c r="J102" s="736"/>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5">
      <c r="A103" s="45"/>
      <c r="B103" s="672"/>
      <c r="C103" s="673"/>
      <c r="D103" s="413"/>
      <c r="E103" s="413"/>
      <c r="F103" s="674"/>
      <c r="G103" s="413"/>
      <c r="H103" s="548"/>
      <c r="I103" s="413"/>
      <c r="J103" s="736"/>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5">
      <c r="A104" s="23"/>
      <c r="B104" s="24"/>
      <c r="C104" s="25"/>
      <c r="D104" s="27"/>
      <c r="E104" s="27"/>
      <c r="F104" s="28"/>
      <c r="G104" s="27"/>
      <c r="H104" s="548"/>
      <c r="I104" s="27"/>
      <c r="J104" s="737"/>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5">
      <c r="A105" s="23"/>
      <c r="B105" s="24"/>
      <c r="C105" s="25"/>
      <c r="D105" s="27"/>
      <c r="E105" s="27"/>
      <c r="F105" s="28"/>
      <c r="G105" s="27"/>
      <c r="H105" s="548"/>
      <c r="I105" s="27"/>
      <c r="J105" s="737"/>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5">
      <c r="A106" s="23"/>
      <c r="B106" s="24"/>
      <c r="C106" s="25"/>
      <c r="D106" s="27"/>
      <c r="E106" s="27"/>
      <c r="F106" s="28"/>
      <c r="G106" s="27"/>
      <c r="H106" s="180"/>
      <c r="I106" s="27"/>
      <c r="J106" s="737"/>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5">
      <c r="A107" s="23"/>
      <c r="B107" s="24"/>
      <c r="C107" s="25"/>
      <c r="D107" s="27"/>
      <c r="E107" s="27"/>
      <c r="F107" s="28"/>
      <c r="G107" s="27"/>
      <c r="H107" s="180"/>
      <c r="I107" s="27"/>
      <c r="J107" s="737"/>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5">
      <c r="A108" s="23"/>
      <c r="B108" s="24"/>
      <c r="C108" s="25"/>
      <c r="D108" s="27"/>
      <c r="E108" s="27"/>
      <c r="F108" s="28"/>
      <c r="G108" s="27"/>
      <c r="H108" s="180"/>
      <c r="I108" s="27"/>
      <c r="J108" s="737"/>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5">
      <c r="A109" s="23"/>
      <c r="B109" s="24"/>
      <c r="C109" s="25"/>
      <c r="D109" s="27"/>
      <c r="E109" s="27"/>
      <c r="F109" s="28"/>
      <c r="G109" s="27"/>
      <c r="H109" s="180"/>
      <c r="I109" s="27"/>
      <c r="J109" s="737"/>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5">
      <c r="A110" s="23"/>
      <c r="B110" s="24"/>
      <c r="C110" s="25"/>
      <c r="D110" s="27"/>
      <c r="E110" s="27"/>
      <c r="F110" s="28"/>
      <c r="G110" s="27"/>
      <c r="H110" s="180"/>
      <c r="I110" s="27"/>
      <c r="J110" s="737"/>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5">
      <c r="A111" s="23"/>
      <c r="B111" s="24"/>
      <c r="C111" s="25"/>
      <c r="D111" s="27"/>
      <c r="E111" s="27"/>
      <c r="F111" s="28"/>
      <c r="G111" s="27"/>
      <c r="H111" s="180"/>
      <c r="I111" s="27"/>
      <c r="J111" s="737"/>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5">
      <c r="A112" s="23"/>
      <c r="B112" s="24"/>
      <c r="C112" s="25"/>
      <c r="D112" s="27"/>
      <c r="E112" s="27"/>
      <c r="F112" s="28"/>
      <c r="G112" s="27"/>
      <c r="H112" s="180"/>
      <c r="I112" s="27"/>
      <c r="J112" s="737"/>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5">
      <c r="A113" s="23"/>
      <c r="B113" s="24"/>
      <c r="C113" s="25"/>
      <c r="D113" s="27"/>
      <c r="E113" s="27"/>
      <c r="F113" s="28"/>
      <c r="G113" s="27"/>
      <c r="H113" s="180"/>
      <c r="I113" s="27"/>
      <c r="J113" s="737"/>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5">
      <c r="A114" s="23"/>
      <c r="B114" s="24"/>
      <c r="C114" s="25"/>
      <c r="D114" s="27"/>
      <c r="E114" s="27"/>
      <c r="F114" s="28"/>
      <c r="G114" s="27"/>
      <c r="H114" s="180"/>
      <c r="I114" s="27"/>
      <c r="J114" s="737"/>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5">
      <c r="A115" s="23"/>
      <c r="B115" s="24"/>
      <c r="C115" s="25"/>
      <c r="D115" s="27"/>
      <c r="E115" s="27"/>
      <c r="F115" s="28"/>
      <c r="G115" s="27"/>
      <c r="H115" s="180"/>
      <c r="I115" s="27"/>
      <c r="J115" s="737"/>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5">
      <c r="A116" s="23"/>
      <c r="B116" s="24"/>
      <c r="C116" s="25"/>
      <c r="D116" s="27"/>
      <c r="E116" s="27"/>
      <c r="F116" s="28"/>
      <c r="G116" s="27"/>
      <c r="H116" s="180"/>
      <c r="I116" s="27"/>
      <c r="J116" s="737"/>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5">
      <c r="A117" s="23"/>
      <c r="B117" s="24"/>
      <c r="C117" s="25"/>
      <c r="D117" s="27"/>
      <c r="E117" s="27"/>
      <c r="F117" s="28"/>
      <c r="G117" s="27"/>
      <c r="H117" s="180"/>
      <c r="I117" s="27"/>
      <c r="J117" s="737"/>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5">
      <c r="A118" s="23"/>
      <c r="B118" s="24"/>
      <c r="C118" s="25"/>
      <c r="D118" s="27"/>
      <c r="E118" s="27"/>
      <c r="F118" s="28"/>
      <c r="G118" s="27"/>
      <c r="H118" s="180"/>
      <c r="I118" s="27"/>
      <c r="J118" s="737"/>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5">
      <c r="A119" s="23"/>
      <c r="B119" s="24"/>
      <c r="C119" s="25"/>
      <c r="D119" s="27"/>
      <c r="E119" s="27"/>
      <c r="F119" s="28"/>
      <c r="G119" s="27"/>
      <c r="H119" s="180"/>
      <c r="I119" s="27"/>
      <c r="J119" s="737"/>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5">
      <c r="A120" s="23"/>
      <c r="B120" s="24"/>
      <c r="C120" s="25"/>
      <c r="D120" s="27"/>
      <c r="E120" s="27"/>
      <c r="F120" s="28"/>
      <c r="G120" s="27"/>
      <c r="H120" s="180"/>
      <c r="I120" s="27"/>
      <c r="J120" s="737"/>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5">
      <c r="A121" s="23"/>
      <c r="B121" s="24"/>
      <c r="C121" s="25"/>
      <c r="D121" s="27"/>
      <c r="E121" s="27"/>
      <c r="F121" s="28"/>
      <c r="G121" s="27"/>
      <c r="H121" s="180"/>
      <c r="I121" s="27"/>
      <c r="J121" s="737"/>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5">
      <c r="A122" s="23"/>
      <c r="B122" s="24"/>
      <c r="C122" s="25"/>
      <c r="D122" s="27"/>
      <c r="E122" s="27"/>
      <c r="F122" s="28"/>
      <c r="G122" s="27"/>
      <c r="H122" s="180"/>
      <c r="I122" s="27"/>
      <c r="J122" s="737"/>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5">
      <c r="A123" s="23"/>
      <c r="B123" s="24"/>
      <c r="C123" s="25"/>
      <c r="D123" s="27"/>
      <c r="E123" s="27"/>
      <c r="F123" s="28"/>
      <c r="G123" s="27"/>
      <c r="H123" s="180"/>
      <c r="I123" s="27"/>
      <c r="J123" s="737"/>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5">
      <c r="A124" s="23"/>
      <c r="B124" s="24"/>
      <c r="C124" s="25"/>
      <c r="D124" s="27"/>
      <c r="E124" s="27"/>
      <c r="F124" s="28"/>
      <c r="G124" s="27"/>
      <c r="H124" s="180"/>
      <c r="I124" s="27"/>
      <c r="J124" s="737"/>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5">
      <c r="A125" s="23"/>
      <c r="B125" s="24"/>
      <c r="C125" s="25"/>
      <c r="D125" s="27"/>
      <c r="E125" s="27"/>
      <c r="F125" s="28"/>
      <c r="G125" s="27"/>
      <c r="H125" s="180"/>
      <c r="I125" s="27"/>
      <c r="J125" s="737"/>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5">
      <c r="A126" s="23"/>
      <c r="B126" s="24"/>
      <c r="C126" s="25"/>
      <c r="D126" s="27"/>
      <c r="E126" s="27"/>
      <c r="F126" s="28"/>
      <c r="G126" s="27"/>
      <c r="H126" s="180"/>
      <c r="I126" s="27"/>
      <c r="J126" s="737"/>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5">
      <c r="A127" s="23"/>
      <c r="B127" s="24"/>
      <c r="C127" s="25"/>
      <c r="D127" s="27"/>
      <c r="E127" s="27"/>
      <c r="F127" s="28"/>
      <c r="G127" s="27"/>
      <c r="H127" s="180"/>
      <c r="I127" s="27"/>
      <c r="J127" s="737"/>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5">
      <c r="A128" s="23"/>
      <c r="B128" s="24"/>
      <c r="C128" s="25"/>
      <c r="D128" s="27"/>
      <c r="E128" s="27"/>
      <c r="F128" s="28"/>
      <c r="G128" s="27"/>
      <c r="H128" s="180"/>
      <c r="I128" s="27"/>
      <c r="J128" s="737"/>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5">
      <c r="A129" s="23"/>
      <c r="B129" s="24"/>
      <c r="C129" s="25"/>
      <c r="D129" s="27"/>
      <c r="E129" s="27"/>
      <c r="F129" s="28"/>
      <c r="G129" s="27"/>
      <c r="H129" s="180"/>
      <c r="I129" s="27"/>
      <c r="J129" s="737"/>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5">
      <c r="A130" s="23"/>
      <c r="B130" s="24"/>
      <c r="C130" s="25"/>
      <c r="D130" s="27"/>
      <c r="E130" s="27"/>
      <c r="F130" s="28"/>
      <c r="G130" s="27"/>
      <c r="H130" s="180"/>
      <c r="I130" s="27"/>
      <c r="J130" s="737"/>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5">
      <c r="A131" s="23"/>
      <c r="B131" s="24"/>
      <c r="C131" s="25"/>
      <c r="D131" s="27"/>
      <c r="E131" s="27"/>
      <c r="F131" s="28"/>
      <c r="G131" s="27"/>
      <c r="H131" s="180"/>
      <c r="I131" s="27"/>
      <c r="J131" s="737"/>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5">
      <c r="A132" s="23"/>
      <c r="B132" s="24"/>
      <c r="C132" s="25"/>
      <c r="D132" s="27"/>
      <c r="E132" s="27"/>
      <c r="F132" s="28"/>
      <c r="G132" s="27"/>
      <c r="H132" s="180"/>
      <c r="I132" s="27"/>
      <c r="J132" s="737"/>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5">
      <c r="A133" s="23"/>
      <c r="B133" s="24"/>
      <c r="C133" s="25"/>
      <c r="D133" s="27"/>
      <c r="E133" s="27"/>
      <c r="F133" s="28"/>
      <c r="G133" s="27"/>
      <c r="H133" s="180"/>
      <c r="I133" s="27"/>
      <c r="J133" s="737"/>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5">
      <c r="A134" s="23"/>
      <c r="B134" s="24"/>
      <c r="C134" s="25"/>
      <c r="D134" s="27"/>
      <c r="E134" s="27"/>
      <c r="F134" s="28"/>
      <c r="G134" s="27"/>
      <c r="H134" s="180"/>
      <c r="I134" s="27"/>
      <c r="J134" s="737"/>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5">
      <c r="A135" s="23"/>
      <c r="B135" s="24"/>
      <c r="C135" s="25"/>
      <c r="D135" s="27"/>
      <c r="E135" s="27"/>
      <c r="F135" s="28"/>
      <c r="G135" s="27"/>
      <c r="H135" s="180"/>
      <c r="I135" s="27"/>
      <c r="J135" s="737"/>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5">
      <c r="A136" s="23"/>
      <c r="B136" s="24"/>
      <c r="C136" s="25"/>
      <c r="D136" s="27"/>
      <c r="E136" s="27"/>
      <c r="F136" s="28"/>
      <c r="G136" s="27"/>
      <c r="H136" s="180"/>
      <c r="I136" s="27"/>
      <c r="J136" s="737"/>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5">
      <c r="A137" s="23"/>
      <c r="B137" s="24"/>
      <c r="C137" s="25"/>
      <c r="D137" s="27"/>
      <c r="E137" s="27"/>
      <c r="F137" s="28"/>
      <c r="G137" s="27"/>
      <c r="H137" s="180"/>
      <c r="I137" s="27"/>
      <c r="J137" s="737"/>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5">
      <c r="A138" s="23"/>
      <c r="B138" s="24"/>
      <c r="C138" s="25"/>
      <c r="D138" s="27"/>
      <c r="E138" s="27"/>
      <c r="F138" s="28"/>
      <c r="G138" s="27"/>
      <c r="H138" s="180"/>
      <c r="I138" s="27"/>
      <c r="J138" s="737"/>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5">
      <c r="A139" s="23"/>
      <c r="B139" s="24"/>
      <c r="C139" s="25"/>
      <c r="D139" s="27"/>
      <c r="E139" s="27"/>
      <c r="F139" s="28"/>
      <c r="G139" s="27"/>
      <c r="H139" s="180"/>
      <c r="I139" s="27"/>
      <c r="J139" s="737"/>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5">
      <c r="A140" s="23"/>
      <c r="B140" s="24"/>
      <c r="C140" s="25"/>
      <c r="D140" s="27"/>
      <c r="E140" s="27"/>
      <c r="F140" s="28"/>
      <c r="G140" s="27"/>
      <c r="H140" s="180"/>
      <c r="I140" s="27"/>
      <c r="J140" s="737"/>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5">
      <c r="A141" s="23"/>
      <c r="B141" s="24"/>
      <c r="C141" s="25"/>
      <c r="D141" s="27"/>
      <c r="E141" s="27"/>
      <c r="F141" s="28"/>
      <c r="G141" s="27"/>
      <c r="H141" s="180"/>
      <c r="I141" s="27"/>
      <c r="J141" s="737"/>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5">
      <c r="A142" s="23"/>
      <c r="B142" s="24"/>
      <c r="C142" s="25"/>
      <c r="D142" s="27"/>
      <c r="E142" s="27"/>
      <c r="F142" s="28"/>
      <c r="G142" s="27"/>
      <c r="H142" s="180"/>
      <c r="I142" s="27"/>
      <c r="J142" s="737"/>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5">
      <c r="A143" s="23"/>
      <c r="B143" s="24"/>
      <c r="C143" s="25"/>
      <c r="D143" s="27"/>
      <c r="E143" s="27"/>
      <c r="F143" s="28"/>
      <c r="G143" s="27"/>
      <c r="H143" s="180"/>
      <c r="I143" s="27"/>
      <c r="J143" s="737"/>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5">
      <c r="A144" s="23"/>
      <c r="B144" s="24"/>
      <c r="C144" s="25"/>
      <c r="D144" s="27"/>
      <c r="E144" s="27"/>
      <c r="F144" s="28"/>
      <c r="G144" s="27"/>
      <c r="H144" s="180"/>
      <c r="I144" s="27"/>
      <c r="J144" s="737"/>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5">
      <c r="A145" s="23"/>
      <c r="B145" s="24"/>
      <c r="C145" s="25"/>
      <c r="D145" s="27"/>
      <c r="E145" s="27"/>
      <c r="F145" s="28"/>
      <c r="G145" s="27"/>
      <c r="H145" s="180"/>
      <c r="I145" s="27"/>
      <c r="J145" s="737"/>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5">
      <c r="A146" s="23"/>
      <c r="B146" s="24"/>
      <c r="C146" s="25"/>
      <c r="D146" s="27"/>
      <c r="E146" s="27"/>
      <c r="F146" s="28"/>
      <c r="G146" s="27"/>
      <c r="H146" s="180"/>
      <c r="I146" s="27"/>
      <c r="J146" s="737"/>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5">
      <c r="A147" s="23"/>
      <c r="B147" s="24"/>
      <c r="C147" s="25"/>
      <c r="D147" s="27"/>
      <c r="E147" s="27"/>
      <c r="F147" s="28"/>
      <c r="G147" s="27"/>
      <c r="H147" s="180"/>
      <c r="I147" s="27"/>
      <c r="J147" s="737"/>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5">
      <c r="A148" s="23"/>
      <c r="B148" s="24"/>
      <c r="C148" s="25"/>
      <c r="D148" s="27"/>
      <c r="E148" s="27"/>
      <c r="F148" s="28"/>
      <c r="G148" s="27"/>
      <c r="H148" s="180"/>
      <c r="I148" s="27"/>
      <c r="J148" s="737"/>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5">
      <c r="A149" s="23"/>
      <c r="B149" s="24"/>
      <c r="C149" s="25"/>
      <c r="D149" s="27"/>
      <c r="E149" s="27"/>
      <c r="F149" s="28"/>
      <c r="G149" s="27"/>
      <c r="H149" s="180"/>
      <c r="I149" s="27"/>
      <c r="J149" s="737"/>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5">
      <c r="A150" s="23"/>
      <c r="B150" s="24"/>
      <c r="C150" s="25"/>
      <c r="D150" s="27"/>
      <c r="E150" s="27"/>
      <c r="F150" s="28"/>
      <c r="G150" s="27"/>
      <c r="H150" s="180"/>
      <c r="I150" s="27"/>
      <c r="J150" s="737"/>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5">
      <c r="A151" s="23"/>
      <c r="B151" s="24"/>
      <c r="C151" s="25"/>
      <c r="D151" s="27"/>
      <c r="E151" s="27"/>
      <c r="F151" s="28"/>
      <c r="G151" s="27"/>
      <c r="H151" s="180"/>
      <c r="I151" s="27"/>
      <c r="J151" s="737"/>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5">
      <c r="A152" s="23"/>
      <c r="B152" s="24"/>
      <c r="C152" s="25"/>
      <c r="D152" s="27"/>
      <c r="E152" s="27"/>
      <c r="F152" s="28"/>
      <c r="G152" s="27"/>
      <c r="H152" s="180"/>
      <c r="I152" s="27"/>
      <c r="J152" s="737"/>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5">
      <c r="A153" s="23"/>
      <c r="B153" s="24"/>
      <c r="C153" s="25"/>
      <c r="D153" s="27"/>
      <c r="E153" s="27"/>
      <c r="F153" s="28"/>
      <c r="G153" s="27"/>
      <c r="H153" s="180"/>
      <c r="I153" s="27"/>
      <c r="J153" s="737"/>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5">
      <c r="A154" s="23"/>
      <c r="B154" s="24"/>
      <c r="C154" s="25"/>
      <c r="D154" s="27"/>
      <c r="E154" s="27"/>
      <c r="F154" s="28"/>
      <c r="G154" s="27"/>
      <c r="H154" s="180"/>
      <c r="I154" s="27"/>
      <c r="J154" s="737"/>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5">
      <c r="A155" s="23"/>
      <c r="B155" s="24"/>
      <c r="C155" s="25"/>
      <c r="D155" s="27"/>
      <c r="E155" s="27"/>
      <c r="F155" s="28"/>
      <c r="G155" s="27"/>
      <c r="H155" s="180"/>
      <c r="I155" s="27"/>
      <c r="J155" s="737"/>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5">
      <c r="A156" s="23"/>
      <c r="B156" s="24"/>
      <c r="C156" s="25"/>
      <c r="D156" s="27"/>
      <c r="E156" s="27"/>
      <c r="F156" s="28"/>
      <c r="G156" s="27"/>
      <c r="H156" s="180"/>
      <c r="I156" s="27"/>
      <c r="J156" s="737"/>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5">
      <c r="A157" s="23"/>
      <c r="B157" s="24"/>
      <c r="C157" s="25"/>
      <c r="D157" s="27"/>
      <c r="E157" s="27"/>
      <c r="F157" s="28"/>
      <c r="G157" s="27"/>
      <c r="H157" s="180"/>
      <c r="I157" s="27"/>
      <c r="J157" s="737"/>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5">
      <c r="A158" s="23"/>
      <c r="B158" s="24"/>
      <c r="C158" s="25"/>
      <c r="D158" s="27"/>
      <c r="E158" s="27"/>
      <c r="F158" s="28"/>
      <c r="G158" s="27"/>
      <c r="H158" s="180"/>
      <c r="I158" s="27"/>
      <c r="J158" s="737"/>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5">
      <c r="A159" s="23"/>
      <c r="B159" s="24"/>
      <c r="C159" s="25"/>
      <c r="D159" s="27"/>
      <c r="E159" s="27"/>
      <c r="F159" s="28"/>
      <c r="G159" s="27"/>
      <c r="H159" s="180"/>
      <c r="I159" s="27"/>
      <c r="J159" s="737"/>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5">
      <c r="A160" s="23"/>
      <c r="B160" s="24"/>
      <c r="C160" s="25"/>
      <c r="D160" s="27"/>
      <c r="E160" s="27"/>
      <c r="F160" s="28"/>
      <c r="G160" s="27"/>
      <c r="H160" s="180"/>
      <c r="I160" s="27"/>
      <c r="J160" s="737"/>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5">
      <c r="A161" s="23"/>
      <c r="B161" s="24"/>
      <c r="C161" s="25"/>
      <c r="D161" s="27"/>
      <c r="E161" s="27"/>
      <c r="F161" s="28"/>
      <c r="G161" s="27"/>
      <c r="H161" s="180"/>
      <c r="I161" s="27"/>
      <c r="J161" s="737"/>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5">
      <c r="A162" s="23"/>
      <c r="B162" s="24"/>
      <c r="C162" s="25"/>
      <c r="D162" s="27"/>
      <c r="E162" s="27"/>
      <c r="F162" s="28"/>
      <c r="G162" s="27"/>
      <c r="H162" s="180"/>
      <c r="I162" s="27"/>
      <c r="J162" s="737"/>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5">
      <c r="A163" s="23"/>
      <c r="B163" s="24"/>
      <c r="C163" s="25"/>
      <c r="D163" s="27"/>
      <c r="E163" s="27"/>
      <c r="F163" s="28"/>
      <c r="G163" s="27"/>
      <c r="H163" s="180"/>
      <c r="I163" s="27"/>
      <c r="J163" s="737"/>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5">
      <c r="A164" s="23"/>
      <c r="B164" s="24"/>
      <c r="C164" s="25"/>
      <c r="D164" s="27"/>
      <c r="E164" s="27"/>
      <c r="F164" s="28"/>
      <c r="G164" s="27"/>
      <c r="H164" s="180"/>
      <c r="I164" s="27"/>
      <c r="J164" s="737"/>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5">
      <c r="A165" s="23"/>
      <c r="B165" s="24"/>
      <c r="C165" s="25"/>
      <c r="D165" s="27"/>
      <c r="E165" s="27"/>
      <c r="F165" s="28"/>
      <c r="G165" s="27"/>
      <c r="H165" s="180"/>
      <c r="I165" s="27"/>
      <c r="J165" s="737"/>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5">
      <c r="A166" s="23"/>
      <c r="B166" s="24"/>
      <c r="C166" s="25"/>
      <c r="D166" s="27"/>
      <c r="E166" s="27"/>
      <c r="F166" s="28"/>
      <c r="G166" s="27"/>
      <c r="H166" s="180"/>
      <c r="I166" s="27"/>
      <c r="J166" s="737"/>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5">
      <c r="A167" s="23"/>
      <c r="B167" s="24"/>
      <c r="C167" s="25"/>
      <c r="D167" s="27"/>
      <c r="E167" s="27"/>
      <c r="F167" s="28"/>
      <c r="G167" s="27"/>
      <c r="H167" s="180"/>
      <c r="I167" s="27"/>
      <c r="J167" s="737"/>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5">
      <c r="A168" s="23"/>
      <c r="B168" s="24"/>
      <c r="C168" s="25"/>
      <c r="D168" s="27"/>
      <c r="E168" s="27"/>
      <c r="F168" s="28"/>
      <c r="G168" s="27"/>
      <c r="H168" s="180"/>
      <c r="I168" s="27"/>
      <c r="J168" s="737"/>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5">
      <c r="A169" s="23"/>
      <c r="B169" s="24"/>
      <c r="C169" s="25"/>
      <c r="D169" s="27"/>
      <c r="E169" s="27"/>
      <c r="F169" s="28"/>
      <c r="G169" s="27"/>
      <c r="H169" s="180"/>
      <c r="I169" s="27"/>
      <c r="J169" s="737"/>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5">
      <c r="A170" s="23"/>
      <c r="B170" s="24"/>
      <c r="C170" s="25"/>
      <c r="D170" s="27"/>
      <c r="E170" s="27"/>
      <c r="F170" s="28"/>
      <c r="G170" s="27"/>
      <c r="H170" s="180"/>
      <c r="I170" s="27"/>
      <c r="J170" s="737"/>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5">
      <c r="A171" s="23"/>
      <c r="B171" s="24"/>
      <c r="C171" s="25"/>
      <c r="D171" s="27"/>
      <c r="E171" s="27"/>
      <c r="F171" s="28"/>
      <c r="G171" s="27"/>
      <c r="H171" s="180"/>
      <c r="I171" s="27"/>
      <c r="J171" s="737"/>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5">
      <c r="A172" s="23"/>
      <c r="B172" s="24"/>
      <c r="C172" s="25"/>
      <c r="D172" s="27"/>
      <c r="E172" s="27"/>
      <c r="F172" s="28"/>
      <c r="G172" s="27"/>
      <c r="H172" s="180"/>
      <c r="I172" s="27"/>
      <c r="J172" s="737"/>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5">
      <c r="A173" s="23"/>
      <c r="B173" s="24"/>
      <c r="C173" s="25"/>
      <c r="D173" s="27"/>
      <c r="E173" s="27"/>
      <c r="F173" s="28"/>
      <c r="G173" s="27"/>
      <c r="H173" s="180"/>
      <c r="I173" s="27"/>
      <c r="J173" s="737"/>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5">
      <c r="A174" s="23"/>
      <c r="B174" s="24"/>
      <c r="C174" s="25"/>
      <c r="D174" s="27"/>
      <c r="E174" s="27"/>
      <c r="F174" s="28"/>
      <c r="G174" s="27"/>
      <c r="H174" s="180"/>
      <c r="I174" s="27"/>
      <c r="J174" s="737"/>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5">
      <c r="A175" s="23"/>
      <c r="B175" s="24"/>
      <c r="C175" s="25"/>
      <c r="D175" s="27"/>
      <c r="E175" s="27"/>
      <c r="F175" s="28"/>
      <c r="G175" s="27"/>
      <c r="H175" s="180"/>
      <c r="I175" s="27"/>
      <c r="J175" s="737"/>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5">
      <c r="A176" s="23"/>
      <c r="B176" s="24"/>
      <c r="C176" s="25"/>
      <c r="D176" s="27"/>
      <c r="E176" s="27"/>
      <c r="F176" s="28"/>
      <c r="G176" s="27"/>
      <c r="H176" s="180"/>
      <c r="I176" s="27"/>
      <c r="J176" s="737"/>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5">
      <c r="A177" s="23"/>
      <c r="B177" s="24"/>
      <c r="C177" s="25"/>
      <c r="D177" s="27"/>
      <c r="E177" s="27"/>
      <c r="F177" s="28"/>
      <c r="G177" s="27"/>
      <c r="H177" s="180"/>
      <c r="I177" s="27"/>
      <c r="J177" s="737"/>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5">
      <c r="A178" s="23"/>
      <c r="B178" s="24"/>
      <c r="C178" s="25"/>
      <c r="D178" s="27"/>
      <c r="E178" s="27"/>
      <c r="F178" s="28"/>
      <c r="G178" s="27"/>
      <c r="H178" s="180"/>
      <c r="I178" s="27"/>
      <c r="J178" s="737"/>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5">
      <c r="A179" s="23"/>
      <c r="B179" s="24"/>
      <c r="C179" s="25"/>
      <c r="D179" s="27"/>
      <c r="E179" s="27"/>
      <c r="F179" s="28"/>
      <c r="G179" s="27"/>
      <c r="H179" s="180"/>
      <c r="I179" s="27"/>
      <c r="J179" s="737"/>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5">
      <c r="A180" s="23"/>
      <c r="B180" s="24"/>
      <c r="C180" s="25"/>
      <c r="D180" s="27"/>
      <c r="E180" s="27"/>
      <c r="F180" s="28"/>
      <c r="G180" s="27"/>
      <c r="H180" s="180"/>
      <c r="I180" s="27"/>
      <c r="J180" s="737"/>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7"/>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7"/>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7"/>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7"/>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7"/>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7"/>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7"/>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7"/>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7"/>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7"/>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7"/>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7"/>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7"/>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7"/>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7"/>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7"/>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7"/>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7"/>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7"/>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7"/>
      <c r="K200" s="635"/>
      <c r="L200" s="635"/>
      <c r="M200" s="635"/>
      <c r="N200" s="635"/>
      <c r="O200" s="636"/>
      <c r="P200" s="635"/>
      <c r="Q200" s="635"/>
      <c r="R200" s="636"/>
      <c r="S200" s="636"/>
      <c r="T200" s="635"/>
      <c r="U200" s="707"/>
      <c r="V200" s="707"/>
      <c r="W200" s="707"/>
      <c r="X200" s="636"/>
      <c r="Y200" s="636"/>
      <c r="Z200" s="637"/>
      <c r="AA200" s="635"/>
      <c r="AB200" s="707"/>
      <c r="AC200" s="644"/>
    </row>
  </sheetData>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Mon</v>
      </c>
      <c r="B9" s="58">
        <f>Weather_Site!B12</f>
        <v>41281</v>
      </c>
      <c r="C9" s="59">
        <f>Weather_Site!C12</f>
        <v>0.20833333333333334</v>
      </c>
      <c r="D9" s="3">
        <f>Weather_Site!D12</f>
        <v>17.5</v>
      </c>
      <c r="E9" s="3">
        <f>Weather_Site!E12</f>
        <v>93.9</v>
      </c>
      <c r="F9" s="3">
        <f>Weather_Site!F12</f>
        <v>168</v>
      </c>
      <c r="G9" s="3">
        <f>Weather_Site!G12</f>
        <v>5</v>
      </c>
      <c r="H9" s="27">
        <f>IF(Weather_Site!M12&lt;180,Weather_Site!M12+180,Weather_Site!M12-180)</f>
        <v>348</v>
      </c>
      <c r="I9" s="60">
        <f>10^(0.009254-0.004096*(100-$C$4)^1.536+0.01201*D9+0.2789*G9^0.5-0.09577*E9^0.5)</f>
        <v>0.44948472407281181</v>
      </c>
      <c r="J9" s="61">
        <f>-0.19625*D9+0.1356*E9+9.575</f>
        <v>18.873464999999999</v>
      </c>
      <c r="K9" s="30">
        <f>EXP(-0.108*J9)</f>
        <v>0.13024549060797483</v>
      </c>
      <c r="L9" s="30">
        <f>MAX(0.001,(0.684-0.0342*J9))</f>
        <v>3.8527497000000022E-2</v>
      </c>
      <c r="M9" s="30">
        <f>MAX(0.001,(0.547-0.0228*J9))</f>
        <v>0.11668499800000004</v>
      </c>
      <c r="N9" s="30">
        <f>IF(J9&lt;12,K9,IF(G9&gt;10,M9,L9))</f>
        <v>3.8527497000000022E-2</v>
      </c>
      <c r="O9" s="31">
        <f>1.036/(1+103.98*EXP(-0.0996*($C$4-20)))</f>
        <v>0.8927606399389324</v>
      </c>
      <c r="P9" s="30">
        <f>(0.054+0.269*G9)*N9*O9</f>
        <v>4.8119770194874491E-2</v>
      </c>
      <c r="Q9" s="62">
        <f>(1.4+0.838*(G9-5)^0.844)*N9*O9</f>
        <v>4.8154166027751445E-2</v>
      </c>
      <c r="R9" s="62">
        <f>(0.054+0.209*G9)*N9*O9</f>
        <v>3.7801020331784882E-2</v>
      </c>
      <c r="S9" s="62">
        <f>(1.1+0.715*(G9-5)^0.844)*N9*O9</f>
        <v>3.783541616466185E-2</v>
      </c>
      <c r="T9" s="62">
        <f>(0.55+0.357*(G9-5)^0.844)*N9*O9</f>
        <v>1.8917708082330925E-2</v>
      </c>
      <c r="U9" s="419">
        <f>$C$5</f>
        <v>0</v>
      </c>
      <c r="V9" s="63">
        <f>IF(G9&lt;5,P9*1000,Q9*1000)</f>
        <v>48.154166027751444</v>
      </c>
      <c r="W9" s="42">
        <f>V9*1.0715^U9</f>
        <v>48.154166027751444</v>
      </c>
      <c r="X9" s="63">
        <f>(0.054+0.269*5)*N9*O9*1000</f>
        <v>48.119770194874491</v>
      </c>
      <c r="Y9" s="65">
        <f>(0.003595*55.816+101.04*(W9/1000)^0.3167)/(55.816+(W9/1000)^0.3167)</f>
        <v>0.69152179558825089</v>
      </c>
      <c r="Z9" s="42">
        <f>516.7*W9*6/1000</f>
        <v>149.28754551923504</v>
      </c>
      <c r="AA9" s="42">
        <f>IF($G9&lt;5,$R9*1000,$S9*1000)</f>
        <v>37.835416164661851</v>
      </c>
      <c r="AB9" s="42">
        <f>$AA9*1.0715^U9</f>
        <v>37.835416164661851</v>
      </c>
      <c r="AC9" s="42">
        <f>(0.054+0.209*5)*$N9*$O9*1000</f>
        <v>37.801020331784883</v>
      </c>
      <c r="AD9" s="65">
        <f>(0.001316*149.4025+117.22*($AB9/1000)^0.3141)/(149.4025+($AB9/1000)^0.3141)</f>
        <v>0.28116182596806993</v>
      </c>
      <c r="AE9" s="42">
        <f>516.7*$AB9*4/1000</f>
        <v>78.198238129123112</v>
      </c>
      <c r="AF9" s="42">
        <f>IF(G9&lt;5,0,T9*1000)</f>
        <v>18.917708082330925</v>
      </c>
      <c r="AG9" s="42">
        <f>AF9*1.0715^U9</f>
        <v>18.917708082330925</v>
      </c>
      <c r="AH9" s="42">
        <f>(0.55+0.357*(5-5)^0.844)*N9*O9*1000</f>
        <v>18.917708082330925</v>
      </c>
      <c r="AI9" s="65">
        <f>1/(32.915-29.388*(AG9/1000)^0.02969)</f>
        <v>0.1472153591961407</v>
      </c>
      <c r="AJ9" s="42">
        <f>516.7*AG9*1.5/1000</f>
        <v>14.662169649210584</v>
      </c>
      <c r="AK9" s="42">
        <f>IF($G9&lt;5,$R9*1000*0.7,$S9*1000*0.7)</f>
        <v>26.484791315263294</v>
      </c>
      <c r="AL9" s="42">
        <f>AK9*1.0715^U9</f>
        <v>26.484791315263294</v>
      </c>
      <c r="AM9" s="42">
        <f>(0.054+0.209*5)*$N9*$O9*1000</f>
        <v>37.801020331784883</v>
      </c>
      <c r="AN9" s="65">
        <f>(0.001316*149.4025+117.22*(AL9/1000)^0.3141)/(149.4025+(AL9/1000)^0.3141)</f>
        <v>0.25156596702516903</v>
      </c>
      <c r="AO9" s="42">
        <f>516.7*AL9*4/1000</f>
        <v>54.738766690386186</v>
      </c>
      <c r="AP9" s="42">
        <f>IF($G9&lt;5,$R9*1000*0.5,$S9*1000*0.5)</f>
        <v>18.917708082330925</v>
      </c>
      <c r="AQ9" s="42">
        <f>AP9*1.0715^U9</f>
        <v>18.917708082330925</v>
      </c>
      <c r="AR9" s="42">
        <f>(0.054+0.209*5)*$N9*$O9*1000</f>
        <v>37.801020331784883</v>
      </c>
      <c r="AS9" s="65">
        <f>(0.001316*149.4025+117.22*(AQ9/1000)^0.3141)/(149.4025+(AQ9/1000)^0.3141)</f>
        <v>0.22651590959229917</v>
      </c>
      <c r="AT9" s="42">
        <f>516.7*AQ9*4/1000</f>
        <v>39.099119064561556</v>
      </c>
    </row>
    <row r="10" spans="1:46" x14ac:dyDescent="0.25">
      <c r="A10" s="3" t="str">
        <f>Weather_Site!A13</f>
        <v>Mon</v>
      </c>
      <c r="B10" s="58">
        <f>Weather_Site!B13</f>
        <v>41281</v>
      </c>
      <c r="C10" s="59">
        <f>Weather_Site!C13</f>
        <v>0.25</v>
      </c>
      <c r="D10" s="3">
        <f>Weather_Site!D13</f>
        <v>17.5</v>
      </c>
      <c r="E10" s="3">
        <f>Weather_Site!E13</f>
        <v>94.5</v>
      </c>
      <c r="F10" s="3">
        <f>Weather_Site!F13</f>
        <v>166</v>
      </c>
      <c r="G10" s="3">
        <f>Weather_Site!G13</f>
        <v>3</v>
      </c>
      <c r="H10" s="27">
        <f>IF(Weather_Site!M13&lt;180,Weather_Site!M13+180,Weather_Site!M13-180)</f>
        <v>346</v>
      </c>
      <c r="I10" s="60">
        <f t="shared" ref="I10:I14" si="0">10^(0.009254-0.004096*(100-$C$4)^1.536+0.01201*D10+0.2789*G10^0.5-0.09577*E10^0.5)</f>
        <v>0.32298645909018969</v>
      </c>
      <c r="J10" s="61">
        <f t="shared" ref="J10:J14" si="1">-0.19625*D10+0.1356*E10+9.575</f>
        <v>18.954825</v>
      </c>
      <c r="K10" s="30">
        <f t="shared" ref="K10:K14" si="2">EXP(-0.108*J10)</f>
        <v>0.12910605249569646</v>
      </c>
      <c r="L10" s="30">
        <f t="shared" ref="L10:L14" si="3">MAX(0.001,(0.684-0.0342*J10))</f>
        <v>3.5744985000000007E-2</v>
      </c>
      <c r="M10" s="30">
        <f t="shared" ref="M10:M14" si="4">MAX(0.001,(0.547-0.0228*J10))</f>
        <v>0.11482999000000005</v>
      </c>
      <c r="N10" s="30">
        <f t="shared" ref="N10:N14" si="5">IF(J10&lt;12,K10,IF(G10&gt;10,M10,L10))</f>
        <v>3.5744985000000007E-2</v>
      </c>
      <c r="O10" s="31">
        <f t="shared" ref="O10:O14" si="6">1.036/(1+103.98*EXP(-0.0996*($C$4-20)))</f>
        <v>0.8927606399389324</v>
      </c>
      <c r="P10" s="30">
        <f t="shared" ref="P10:P14" si="7">(0.054+0.269*G10)*N10*O10</f>
        <v>2.7475987203241702E-2</v>
      </c>
      <c r="Q10" s="62" t="e">
        <f t="shared" ref="Q10:Q14" si="8">(1.4+0.838*(G10-5)^0.844)*N10*O10</f>
        <v>#NUM!</v>
      </c>
      <c r="R10" s="62">
        <f t="shared" ref="R10:R14" si="9">(0.054+0.209*G10)*N10*O10</f>
        <v>2.173187838026434E-2</v>
      </c>
      <c r="S10" s="62" t="e">
        <f t="shared" ref="S10:S14" si="10">(1.1+0.715*(G10-5)^0.844)*N10*O10</f>
        <v>#NUM!</v>
      </c>
      <c r="T10" s="62" t="e">
        <f t="shared" ref="T10:T14" si="11">(0.55+0.357*(G10-5)^0.844)*N10*O10</f>
        <v>#NUM!</v>
      </c>
      <c r="U10" s="419">
        <f t="shared" ref="U10:U14" si="12">$C$5</f>
        <v>0</v>
      </c>
      <c r="V10" s="63">
        <f t="shared" ref="V10:V14" si="13">IF(G10&lt;5,P10*1000,Q10*1000)</f>
        <v>27.475987203241701</v>
      </c>
      <c r="W10" s="42">
        <f t="shared" ref="W10:W14" si="14">V10*1.0715^U10</f>
        <v>27.475987203241701</v>
      </c>
      <c r="X10" s="63">
        <f t="shared" ref="X10:X14" si="15">(0.054+0.269*5)*N10*O10*1000</f>
        <v>44.644490240807365</v>
      </c>
      <c r="Y10" s="65">
        <f t="shared" ref="Y10:Y14" si="16">(0.003595*55.816+101.04*(W10/1000)^0.3167)/(55.816+(W10/1000)^0.3167)</f>
        <v>0.58016265152210278</v>
      </c>
      <c r="Z10" s="42">
        <f t="shared" ref="Z10:Z14" si="17">516.7*W10*6/1000</f>
        <v>85.181055527489917</v>
      </c>
      <c r="AA10" s="42">
        <f t="shared" ref="AA10:AA14" si="18">IF($G10&lt;5,$R10*1000,$S10*1000)</f>
        <v>21.731878380264341</v>
      </c>
      <c r="AB10" s="42">
        <f t="shared" ref="AB10:AB14" si="19">$AA10*1.0715^U10</f>
        <v>21.731878380264341</v>
      </c>
      <c r="AC10" s="42">
        <f t="shared" ref="AC10:AC14" si="20">(0.054+0.209*5)*$N10*$O10*1000</f>
        <v>35.070975535845093</v>
      </c>
      <c r="AD10" s="65">
        <f t="shared" ref="AD10:AD14" si="21">(0.001316*149.4025+117.22*($AB10/1000)^0.3141)/(149.4025+($AB10/1000)^0.3141)</f>
        <v>0.23652228072254475</v>
      </c>
      <c r="AE10" s="42">
        <f t="shared" ref="AE10:AE14" si="22">516.7*$AB10*4/1000</f>
        <v>44.915446236330347</v>
      </c>
      <c r="AF10" s="42">
        <f t="shared" ref="AF10:AF14" si="23">IF(G10&lt;5,0,T10*1000)</f>
        <v>0</v>
      </c>
      <c r="AG10" s="42">
        <f t="shared" ref="AG10:AG14" si="24">AF10*1.0715^U10</f>
        <v>0</v>
      </c>
      <c r="AH10" s="42">
        <f t="shared" ref="AH10:AH14" si="25">(0.55+0.357*(5-5)^0.844)*N10*O10*1000</f>
        <v>17.551443625764151</v>
      </c>
      <c r="AI10" s="65">
        <f t="shared" ref="AI10:AI14" si="26">1/(32.915-29.388*(AG10/1000)^0.02969)</f>
        <v>3.038128512836093E-2</v>
      </c>
      <c r="AJ10" s="42">
        <f t="shared" ref="AJ10:AJ14" si="27">516.7*AG10*1.5/1000</f>
        <v>0</v>
      </c>
      <c r="AK10" s="42">
        <f t="shared" ref="AK10:AK14" si="28">IF($G10&lt;5,$R10*1000*0.7,$S10*1000*0.7)</f>
        <v>15.212314866185038</v>
      </c>
      <c r="AL10" s="42">
        <f t="shared" ref="AL10:AL14" si="29">AK10*1.0715^U10</f>
        <v>15.212314866185038</v>
      </c>
      <c r="AM10" s="42">
        <f t="shared" ref="AM10:AM14" si="30">(0.054+0.209*5)*$N10*$O10*1000</f>
        <v>35.070975535845093</v>
      </c>
      <c r="AN10" s="65">
        <f t="shared" ref="AN10:AN14" si="31">(0.001316*149.4025+117.22*(AL10/1000)^0.3141)/(149.4025+(AL10/1000)^0.3141)</f>
        <v>0.21163890767899129</v>
      </c>
      <c r="AO10" s="42">
        <f t="shared" ref="AO10:AO14" si="32">516.7*AL10*4/1000</f>
        <v>31.440812365431238</v>
      </c>
      <c r="AP10" s="42">
        <f t="shared" ref="AP10:AP14" si="33">IF($G10&lt;5,$R10*1000*0.5,$S10*1000*0.5)</f>
        <v>10.86593919013217</v>
      </c>
      <c r="AQ10" s="42">
        <f t="shared" ref="AQ10:AQ14" si="34">AP10*1.0715^U10</f>
        <v>10.86593919013217</v>
      </c>
      <c r="AR10" s="42">
        <f t="shared" ref="AR10:AR14" si="35">(0.054+0.209*5)*$N10*$O10*1000</f>
        <v>35.070975535845093</v>
      </c>
      <c r="AS10" s="65">
        <f t="shared" ref="AS10:AS14" si="36">(0.001316*149.4025+117.22*(AQ10/1000)^0.3141)/(149.4025+(AQ10/1000)^0.3141)</f>
        <v>0.19057908764143991</v>
      </c>
      <c r="AT10" s="42">
        <f t="shared" ref="AT10:AT14" si="37">516.7*AQ10*4/1000</f>
        <v>22.457723118165173</v>
      </c>
    </row>
    <row r="11" spans="1:46" x14ac:dyDescent="0.25">
      <c r="A11" s="3" t="str">
        <f>Weather_Site!A14</f>
        <v>Mon</v>
      </c>
      <c r="B11" s="58">
        <f>Weather_Site!B14</f>
        <v>41281</v>
      </c>
      <c r="C11" s="59">
        <f>Weather_Site!C14</f>
        <v>0.29166666666666669</v>
      </c>
      <c r="D11" s="3">
        <f>Weather_Site!D14</f>
        <v>17.7</v>
      </c>
      <c r="E11" s="3">
        <f>Weather_Site!E14</f>
        <v>92.7</v>
      </c>
      <c r="F11" s="3">
        <f>Weather_Site!F14</f>
        <v>162</v>
      </c>
      <c r="G11" s="3">
        <f>Weather_Site!G14</f>
        <v>2</v>
      </c>
      <c r="H11" s="27">
        <f>IF(Weather_Site!M14&lt;180,Weather_Site!M14+180,Weather_Site!M14-180)</f>
        <v>342</v>
      </c>
      <c r="I11" s="60">
        <f t="shared" si="0"/>
        <v>0.27030290644521698</v>
      </c>
      <c r="J11" s="61">
        <f t="shared" si="1"/>
        <v>18.671495</v>
      </c>
      <c r="K11" s="30">
        <f t="shared" si="2"/>
        <v>0.13311771593455302</v>
      </c>
      <c r="L11" s="30">
        <f t="shared" si="3"/>
        <v>4.5434870999999988E-2</v>
      </c>
      <c r="M11" s="30">
        <f t="shared" si="4"/>
        <v>0.121289914</v>
      </c>
      <c r="N11" s="30">
        <f t="shared" si="5"/>
        <v>4.5434870999999988E-2</v>
      </c>
      <c r="O11" s="31">
        <f t="shared" si="6"/>
        <v>0.8927606399389324</v>
      </c>
      <c r="P11" s="30">
        <f t="shared" si="7"/>
        <v>2.4012978989625681E-2</v>
      </c>
      <c r="Q11" s="62" t="e">
        <f t="shared" si="8"/>
        <v>#NUM!</v>
      </c>
      <c r="R11" s="62">
        <f t="shared" si="9"/>
        <v>1.9145483248485334E-2</v>
      </c>
      <c r="S11" s="62" t="e">
        <f t="shared" si="10"/>
        <v>#NUM!</v>
      </c>
      <c r="T11" s="62" t="e">
        <f t="shared" si="11"/>
        <v>#NUM!</v>
      </c>
      <c r="U11" s="419">
        <f t="shared" si="12"/>
        <v>0</v>
      </c>
      <c r="V11" s="63">
        <f t="shared" si="13"/>
        <v>24.01297898962568</v>
      </c>
      <c r="W11" s="42">
        <f t="shared" si="14"/>
        <v>24.01297898962568</v>
      </c>
      <c r="X11" s="63">
        <f t="shared" si="15"/>
        <v>56.746887848794472</v>
      </c>
      <c r="Y11" s="65">
        <f t="shared" si="16"/>
        <v>0.55621239088721075</v>
      </c>
      <c r="Z11" s="42">
        <f t="shared" si="17"/>
        <v>74.445037463637533</v>
      </c>
      <c r="AA11" s="42">
        <f t="shared" si="18"/>
        <v>19.145483248485334</v>
      </c>
      <c r="AB11" s="42">
        <f t="shared" si="19"/>
        <v>19.145483248485334</v>
      </c>
      <c r="AC11" s="42">
        <f t="shared" si="20"/>
        <v>44.578148495943609</v>
      </c>
      <c r="AD11" s="65">
        <f t="shared" si="21"/>
        <v>0.22736245598825969</v>
      </c>
      <c r="AE11" s="42">
        <f t="shared" si="22"/>
        <v>39.569884777969492</v>
      </c>
      <c r="AF11" s="42">
        <f t="shared" si="23"/>
        <v>0</v>
      </c>
      <c r="AG11" s="42">
        <f t="shared" si="24"/>
        <v>0</v>
      </c>
      <c r="AH11" s="42">
        <f t="shared" si="25"/>
        <v>22.309355480226557</v>
      </c>
      <c r="AI11" s="65">
        <f t="shared" si="26"/>
        <v>3.038128512836093E-2</v>
      </c>
      <c r="AJ11" s="42">
        <f t="shared" si="27"/>
        <v>0</v>
      </c>
      <c r="AK11" s="42">
        <f t="shared" si="28"/>
        <v>13.401838273939733</v>
      </c>
      <c r="AL11" s="42">
        <f t="shared" si="29"/>
        <v>13.401838273939733</v>
      </c>
      <c r="AM11" s="42">
        <f t="shared" si="30"/>
        <v>44.578148495943609</v>
      </c>
      <c r="AN11" s="65">
        <f t="shared" si="31"/>
        <v>0.20344646149361398</v>
      </c>
      <c r="AO11" s="42">
        <f t="shared" si="32"/>
        <v>27.698919344578641</v>
      </c>
      <c r="AP11" s="42">
        <f t="shared" si="33"/>
        <v>9.5727416242426671</v>
      </c>
      <c r="AQ11" s="42">
        <f t="shared" si="34"/>
        <v>9.5727416242426671</v>
      </c>
      <c r="AR11" s="42">
        <f t="shared" si="35"/>
        <v>44.578148495943609</v>
      </c>
      <c r="AS11" s="65">
        <f t="shared" si="36"/>
        <v>0.18320568320396904</v>
      </c>
      <c r="AT11" s="42">
        <f t="shared" si="37"/>
        <v>19.784942388984746</v>
      </c>
    </row>
    <row r="12" spans="1:46" x14ac:dyDescent="0.25">
      <c r="A12" s="3" t="str">
        <f>Weather_Site!A15</f>
        <v>Mon</v>
      </c>
      <c r="B12" s="58">
        <f>Weather_Site!B15</f>
        <v>41281</v>
      </c>
      <c r="C12" s="59">
        <f>Weather_Site!C15</f>
        <v>0.33333333333333331</v>
      </c>
      <c r="D12" s="3">
        <f>Weather_Site!D15</f>
        <v>18.399999999999999</v>
      </c>
      <c r="E12" s="3">
        <f>Weather_Site!E15</f>
        <v>87</v>
      </c>
      <c r="F12" s="3">
        <f>Weather_Site!F15</f>
        <v>160</v>
      </c>
      <c r="G12" s="3">
        <f>Weather_Site!G15</f>
        <v>2</v>
      </c>
      <c r="H12" s="27">
        <f>IF(Weather_Site!M15&lt;180,Weather_Site!M15+180,Weather_Site!M15-180)</f>
        <v>340</v>
      </c>
      <c r="I12" s="60">
        <f t="shared" si="0"/>
        <v>0.29448028228437184</v>
      </c>
      <c r="J12" s="61">
        <f t="shared" si="1"/>
        <v>17.761199999999999</v>
      </c>
      <c r="K12" s="30">
        <f t="shared" si="2"/>
        <v>0.14686968235231121</v>
      </c>
      <c r="L12" s="30">
        <f t="shared" si="3"/>
        <v>7.6566960000000073E-2</v>
      </c>
      <c r="M12" s="30">
        <f t="shared" si="4"/>
        <v>0.14204464000000006</v>
      </c>
      <c r="N12" s="30">
        <f t="shared" si="5"/>
        <v>7.6566960000000073E-2</v>
      </c>
      <c r="O12" s="31">
        <f t="shared" si="6"/>
        <v>0.8927606399389324</v>
      </c>
      <c r="P12" s="30">
        <f t="shared" si="7"/>
        <v>4.0466733179004996E-2</v>
      </c>
      <c r="Q12" s="62" t="e">
        <f t="shared" si="8"/>
        <v>#NUM!</v>
      </c>
      <c r="R12" s="62">
        <f t="shared" si="9"/>
        <v>3.2264016994071547E-2</v>
      </c>
      <c r="S12" s="62" t="e">
        <f t="shared" si="10"/>
        <v>#NUM!</v>
      </c>
      <c r="T12" s="62" t="e">
        <f t="shared" si="11"/>
        <v>#NUM!</v>
      </c>
      <c r="U12" s="419">
        <f t="shared" si="12"/>
        <v>0</v>
      </c>
      <c r="V12" s="63">
        <f t="shared" si="13"/>
        <v>40.466733179004997</v>
      </c>
      <c r="W12" s="42">
        <f t="shared" si="14"/>
        <v>40.466733179004997</v>
      </c>
      <c r="X12" s="63">
        <f t="shared" si="15"/>
        <v>95.629999522682439</v>
      </c>
      <c r="Y12" s="65">
        <f t="shared" si="16"/>
        <v>0.65489123361728685</v>
      </c>
      <c r="Z12" s="42">
        <f t="shared" si="17"/>
        <v>125.45496620155131</v>
      </c>
      <c r="AA12" s="42">
        <f t="shared" si="18"/>
        <v>32.264016994071547</v>
      </c>
      <c r="AB12" s="42">
        <f t="shared" si="19"/>
        <v>32.264016994071547</v>
      </c>
      <c r="AC12" s="42">
        <f t="shared" si="20"/>
        <v>75.123209060348785</v>
      </c>
      <c r="AD12" s="65">
        <f t="shared" si="21"/>
        <v>0.2675355679614882</v>
      </c>
      <c r="AE12" s="42">
        <f t="shared" si="22"/>
        <v>66.683270323347088</v>
      </c>
      <c r="AF12" s="42">
        <f t="shared" si="23"/>
        <v>0</v>
      </c>
      <c r="AG12" s="42">
        <f t="shared" si="24"/>
        <v>0</v>
      </c>
      <c r="AH12" s="42">
        <f t="shared" si="25"/>
        <v>37.595782514278298</v>
      </c>
      <c r="AI12" s="65">
        <f t="shared" si="26"/>
        <v>3.038128512836093E-2</v>
      </c>
      <c r="AJ12" s="42">
        <f t="shared" si="27"/>
        <v>0</v>
      </c>
      <c r="AK12" s="42">
        <f t="shared" si="28"/>
        <v>22.584811895850081</v>
      </c>
      <c r="AL12" s="42">
        <f t="shared" si="29"/>
        <v>22.584811895850081</v>
      </c>
      <c r="AM12" s="42">
        <f t="shared" si="30"/>
        <v>75.123209060348785</v>
      </c>
      <c r="AN12" s="65">
        <f t="shared" si="31"/>
        <v>0.23937785738869671</v>
      </c>
      <c r="AO12" s="42">
        <f t="shared" si="32"/>
        <v>46.678289226342955</v>
      </c>
      <c r="AP12" s="42">
        <f t="shared" si="33"/>
        <v>16.132008497035773</v>
      </c>
      <c r="AQ12" s="42">
        <f t="shared" si="34"/>
        <v>16.132008497035773</v>
      </c>
      <c r="AR12" s="42">
        <f t="shared" si="35"/>
        <v>75.123209060348785</v>
      </c>
      <c r="AS12" s="65">
        <f t="shared" si="36"/>
        <v>0.21554559696315811</v>
      </c>
      <c r="AT12" s="42">
        <f t="shared" si="37"/>
        <v>33.341635161673544</v>
      </c>
    </row>
    <row r="13" spans="1:46" x14ac:dyDescent="0.25">
      <c r="A13" s="3" t="str">
        <f>Weather_Site!A16</f>
        <v>Mon</v>
      </c>
      <c r="B13" s="58">
        <f>Weather_Site!B16</f>
        <v>41281</v>
      </c>
      <c r="C13" s="59">
        <f>Weather_Site!C16</f>
        <v>0.375</v>
      </c>
      <c r="D13" s="3">
        <f>Weather_Site!D16</f>
        <v>19.8</v>
      </c>
      <c r="E13" s="3">
        <f>Weather_Site!E16</f>
        <v>78.3</v>
      </c>
      <c r="F13" s="3">
        <f>Weather_Site!F16</f>
        <v>123</v>
      </c>
      <c r="G13" s="3">
        <f>Weather_Site!G16</f>
        <v>4</v>
      </c>
      <c r="H13" s="27">
        <f>IF(Weather_Site!M16&lt;180,Weather_Site!M16+180,Weather_Site!M16-180)</f>
        <v>303</v>
      </c>
      <c r="I13" s="60">
        <f t="shared" si="0"/>
        <v>0.49554876757149835</v>
      </c>
      <c r="J13" s="61">
        <f t="shared" si="1"/>
        <v>16.306729999999998</v>
      </c>
      <c r="K13" s="30">
        <f t="shared" si="2"/>
        <v>0.17185110597624856</v>
      </c>
      <c r="L13" s="30">
        <f t="shared" si="3"/>
        <v>0.12630983400000007</v>
      </c>
      <c r="M13" s="30">
        <f t="shared" si="4"/>
        <v>0.17520655600000007</v>
      </c>
      <c r="N13" s="30">
        <f t="shared" si="5"/>
        <v>0.12630983400000007</v>
      </c>
      <c r="O13" s="31">
        <f t="shared" si="6"/>
        <v>0.8927606399389324</v>
      </c>
      <c r="P13" s="30">
        <f t="shared" si="7"/>
        <v>0.12742382650263503</v>
      </c>
      <c r="Q13" s="62" t="e">
        <f t="shared" si="8"/>
        <v>#NUM!</v>
      </c>
      <c r="R13" s="62">
        <f t="shared" si="9"/>
        <v>0.10036035892685413</v>
      </c>
      <c r="S13" s="62" t="e">
        <f t="shared" si="10"/>
        <v>#NUM!</v>
      </c>
      <c r="T13" s="62" t="e">
        <f t="shared" si="11"/>
        <v>#NUM!</v>
      </c>
      <c r="U13" s="419">
        <f t="shared" si="12"/>
        <v>0</v>
      </c>
      <c r="V13" s="63">
        <f t="shared" si="13"/>
        <v>127.42382650263504</v>
      </c>
      <c r="W13" s="42">
        <f t="shared" si="14"/>
        <v>127.42382650263504</v>
      </c>
      <c r="X13" s="63">
        <f t="shared" si="15"/>
        <v>157.75746307715613</v>
      </c>
      <c r="Y13" s="65">
        <f t="shared" si="16"/>
        <v>0.93753492382854042</v>
      </c>
      <c r="Z13" s="42">
        <f t="shared" si="17"/>
        <v>395.03934692346922</v>
      </c>
      <c r="AA13" s="42">
        <f t="shared" si="18"/>
        <v>100.36035892685413</v>
      </c>
      <c r="AB13" s="42">
        <f t="shared" si="19"/>
        <v>100.36035892685413</v>
      </c>
      <c r="AC13" s="42">
        <f t="shared" si="20"/>
        <v>123.92812860742998</v>
      </c>
      <c r="AD13" s="65">
        <f t="shared" si="21"/>
        <v>0.38117289396674531</v>
      </c>
      <c r="AE13" s="42">
        <f t="shared" si="22"/>
        <v>207.42478983002215</v>
      </c>
      <c r="AF13" s="42">
        <f t="shared" si="23"/>
        <v>0</v>
      </c>
      <c r="AG13" s="42">
        <f t="shared" si="24"/>
        <v>0</v>
      </c>
      <c r="AH13" s="42">
        <f t="shared" si="25"/>
        <v>62.020446527831218</v>
      </c>
      <c r="AI13" s="65">
        <f t="shared" si="26"/>
        <v>3.038128512836093E-2</v>
      </c>
      <c r="AJ13" s="42">
        <f t="shared" si="27"/>
        <v>0</v>
      </c>
      <c r="AK13" s="42">
        <f t="shared" si="28"/>
        <v>70.25225124879789</v>
      </c>
      <c r="AL13" s="42">
        <f t="shared" si="29"/>
        <v>70.25225124879789</v>
      </c>
      <c r="AM13" s="42">
        <f t="shared" si="30"/>
        <v>123.92812860742998</v>
      </c>
      <c r="AN13" s="65">
        <f t="shared" si="31"/>
        <v>0.34103081832494453</v>
      </c>
      <c r="AO13" s="42">
        <f t="shared" si="32"/>
        <v>145.19735288101549</v>
      </c>
      <c r="AP13" s="42">
        <f t="shared" si="33"/>
        <v>50.180179463427066</v>
      </c>
      <c r="AQ13" s="42">
        <f t="shared" si="34"/>
        <v>50.180179463427066</v>
      </c>
      <c r="AR13" s="42">
        <f t="shared" si="35"/>
        <v>123.92812860742998</v>
      </c>
      <c r="AS13" s="65">
        <f t="shared" si="36"/>
        <v>0.30704872429100705</v>
      </c>
      <c r="AT13" s="42">
        <f t="shared" si="37"/>
        <v>103.71239491501107</v>
      </c>
    </row>
    <row r="14" spans="1:46" x14ac:dyDescent="0.25">
      <c r="A14" s="66" t="str">
        <f>Weather_Site!A17</f>
        <v>Mon</v>
      </c>
      <c r="B14" s="67">
        <f>Weather_Site!B17</f>
        <v>41281</v>
      </c>
      <c r="C14" s="68">
        <f>Weather_Site!C17</f>
        <v>0.41666666666666669</v>
      </c>
      <c r="D14" s="66">
        <f>Weather_Site!D17</f>
        <v>21.7</v>
      </c>
      <c r="E14" s="66">
        <f>Weather_Site!E17</f>
        <v>69.599999999999994</v>
      </c>
      <c r="F14" s="66">
        <f>Weather_Site!F17</f>
        <v>51</v>
      </c>
      <c r="G14" s="66">
        <f>Weather_Site!G17</f>
        <v>6</v>
      </c>
      <c r="H14" s="48">
        <f>IF(Weather_Site!M17&lt;180,Weather_Site!M17+180,Weather_Site!M17-180)</f>
        <v>231</v>
      </c>
      <c r="I14" s="69">
        <f t="shared" si="0"/>
        <v>0.77935289450698353</v>
      </c>
      <c r="J14" s="70">
        <f t="shared" si="1"/>
        <v>14.754134999999998</v>
      </c>
      <c r="K14" s="55">
        <f t="shared" si="2"/>
        <v>0.20322397561638419</v>
      </c>
      <c r="L14" s="30">
        <f t="shared" si="3"/>
        <v>0.17940858300000007</v>
      </c>
      <c r="M14" s="30">
        <f t="shared" si="4"/>
        <v>0.21060572200000005</v>
      </c>
      <c r="N14" s="55">
        <f t="shared" si="5"/>
        <v>0.17940858300000007</v>
      </c>
      <c r="O14" s="54">
        <f t="shared" si="6"/>
        <v>0.8927606399389324</v>
      </c>
      <c r="P14" s="55">
        <f t="shared" si="7"/>
        <v>0.26716176084452137</v>
      </c>
      <c r="Q14" s="55">
        <f t="shared" si="8"/>
        <v>0.35845804602520309</v>
      </c>
      <c r="R14" s="55">
        <f t="shared" si="9"/>
        <v>0.20950094915145923</v>
      </c>
      <c r="S14" s="55">
        <f t="shared" si="10"/>
        <v>0.2907065922858551</v>
      </c>
      <c r="T14" s="55">
        <f t="shared" si="11"/>
        <v>0.14527321168224275</v>
      </c>
      <c r="U14" s="419">
        <f t="shared" si="12"/>
        <v>0</v>
      </c>
      <c r="V14" s="71">
        <f t="shared" si="13"/>
        <v>358.45804602520309</v>
      </c>
      <c r="W14" s="53">
        <f t="shared" si="14"/>
        <v>358.45804602520309</v>
      </c>
      <c r="X14" s="71">
        <f t="shared" si="15"/>
        <v>224.07632099609444</v>
      </c>
      <c r="Y14" s="72">
        <f t="shared" si="16"/>
        <v>1.2948842888453194</v>
      </c>
      <c r="Z14" s="53">
        <f t="shared" si="17"/>
        <v>1111.2916342873348</v>
      </c>
      <c r="AA14" s="53">
        <f t="shared" si="18"/>
        <v>290.70659228585509</v>
      </c>
      <c r="AB14" s="53">
        <f t="shared" si="19"/>
        <v>290.70659228585509</v>
      </c>
      <c r="AC14" s="53">
        <f t="shared" si="20"/>
        <v>176.02564458520922</v>
      </c>
      <c r="AD14" s="72">
        <f t="shared" si="21"/>
        <v>0.53115345999187979</v>
      </c>
      <c r="AE14" s="53">
        <f t="shared" si="22"/>
        <v>600.83238493640533</v>
      </c>
      <c r="AF14" s="53">
        <f t="shared" si="23"/>
        <v>145.27321168224276</v>
      </c>
      <c r="AG14" s="53">
        <f t="shared" si="24"/>
        <v>145.27321168224276</v>
      </c>
      <c r="AH14" s="53">
        <f t="shared" si="25"/>
        <v>88.092906753289427</v>
      </c>
      <c r="AI14" s="72">
        <f t="shared" si="26"/>
        <v>0.19368831782084767</v>
      </c>
      <c r="AJ14" s="53">
        <f t="shared" si="27"/>
        <v>112.59400271432226</v>
      </c>
      <c r="AK14" s="53">
        <f t="shared" si="28"/>
        <v>203.49461460009854</v>
      </c>
      <c r="AL14" s="53">
        <f t="shared" si="29"/>
        <v>203.49461460009854</v>
      </c>
      <c r="AM14" s="53">
        <f t="shared" si="30"/>
        <v>176.02564458520922</v>
      </c>
      <c r="AN14" s="72">
        <f t="shared" si="31"/>
        <v>0.47522619936932037</v>
      </c>
      <c r="AO14" s="53">
        <f t="shared" si="32"/>
        <v>420.58266945548371</v>
      </c>
      <c r="AP14" s="53">
        <f t="shared" si="33"/>
        <v>145.35329614292755</v>
      </c>
      <c r="AQ14" s="53">
        <f t="shared" si="34"/>
        <v>145.35329614292755</v>
      </c>
      <c r="AR14" s="53">
        <f t="shared" si="35"/>
        <v>176.02564458520922</v>
      </c>
      <c r="AS14" s="72">
        <f t="shared" si="36"/>
        <v>0.42786936547359761</v>
      </c>
      <c r="AT14" s="53">
        <f t="shared" si="37"/>
        <v>300.41619246820267</v>
      </c>
    </row>
    <row r="15" spans="1:46" x14ac:dyDescent="0.25">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5">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5">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5">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5">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5">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5">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5">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5">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5">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5">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Mon</v>
      </c>
      <c r="B35" s="530">
        <f>Weather_Site!B12</f>
        <v>41281</v>
      </c>
      <c r="C35" s="531">
        <f>Weather_Site!C12</f>
        <v>0.20833333333333334</v>
      </c>
      <c r="D35" s="529">
        <f>Weather_Site!D12</f>
        <v>17.5</v>
      </c>
      <c r="E35" s="529">
        <f>Weather_Site!E12</f>
        <v>93.9</v>
      </c>
      <c r="F35" s="529">
        <f>Weather_Site!F12</f>
        <v>168</v>
      </c>
      <c r="G35" s="529">
        <f>Weather_Site!G12</f>
        <v>5</v>
      </c>
      <c r="H35" s="27">
        <f>IF(Weather_Site!M12&lt;180,Weather_Site!M12+180,Weather_Site!M12-180)</f>
        <v>348</v>
      </c>
      <c r="I35" s="33">
        <f>G35/1.35</f>
        <v>3.7037037037037033</v>
      </c>
      <c r="J35" s="548"/>
      <c r="K35" s="32">
        <f>IF(J35&gt;0,(0.412*J35+0.311*$E$5-0.676*$E$6-4.073),(0.412*I35+0.311*$E$5-0.676*$E$6-4.073))</f>
        <v>-0.24707407407407622</v>
      </c>
      <c r="L35" s="32">
        <f>IF(K35&gt;0,(1/(1+EXP(-K35))),0)</f>
        <v>0</v>
      </c>
      <c r="M35" s="533">
        <f>MAX((IF(L35&gt;0.5,IF(J35&gt;0,(40.982*(J35^1.399*$E$5^1.201)/$E$6^1.699),(40.982*(I35^1.399*$E$5^1.201)/$E$6^1.699)),0)),0)</f>
        <v>0</v>
      </c>
      <c r="N35" s="32">
        <f>IF(M35&gt;0,((0.097*M35^0.424)+0.102*$E$7),0)</f>
        <v>0</v>
      </c>
      <c r="O35" s="402">
        <f>M35/1000*$E$7*516.7</f>
        <v>0</v>
      </c>
    </row>
    <row r="36" spans="1:15" x14ac:dyDescent="0.25">
      <c r="A36" s="529" t="str">
        <f>Weather_Site!A13</f>
        <v>Mon</v>
      </c>
      <c r="B36" s="530">
        <f>Weather_Site!B13</f>
        <v>41281</v>
      </c>
      <c r="C36" s="531">
        <f>Weather_Site!C13</f>
        <v>0.25</v>
      </c>
      <c r="D36" s="529">
        <f>Weather_Site!D13</f>
        <v>17.5</v>
      </c>
      <c r="E36" s="529">
        <f>Weather_Site!E13</f>
        <v>94.5</v>
      </c>
      <c r="F36" s="529">
        <f>Weather_Site!F13</f>
        <v>166</v>
      </c>
      <c r="G36" s="529">
        <f>Weather_Site!G13</f>
        <v>3</v>
      </c>
      <c r="H36" s="27">
        <f>IF(Weather_Site!M13&lt;180,Weather_Site!M13+180,Weather_Site!M13-180)</f>
        <v>346</v>
      </c>
      <c r="I36" s="33">
        <f t="shared" ref="I36:I40" si="0">G36/1.35</f>
        <v>2.2222222222222219</v>
      </c>
      <c r="J36" s="548"/>
      <c r="K36" s="32">
        <f t="shared" ref="K36:K40" si="1">IF(J36&gt;0,(0.412*J36+0.311*$E$5-0.676*$E$6-4.073),(0.412*I36+0.311*$E$5-0.676*$E$6-4.073))</f>
        <v>-0.85744444444444667</v>
      </c>
      <c r="L36" s="32">
        <f t="shared" ref="L36:L40" si="2">IF(K36&gt;0,(1/(1+EXP(-K36))),0)</f>
        <v>0</v>
      </c>
      <c r="M36" s="533">
        <f t="shared" ref="M36:M40" si="3">MAX((IF(L36&gt;0.5,IF(J36&gt;0,(40.982*(J36^1.399*$E$5^1.201)/$E$6^1.699),(40.982*(I36^1.399*$E$5^1.201)/$E$6^1.699)),0)),0)</f>
        <v>0</v>
      </c>
      <c r="N36" s="32">
        <f t="shared" ref="N36:N40" si="4">IF(M36&gt;0,((0.097*M36^0.424)+0.102*$E$7),0)</f>
        <v>0</v>
      </c>
      <c r="O36" s="402">
        <f t="shared" ref="O36:O40" si="5">M36/1000*$E$7*516.7</f>
        <v>0</v>
      </c>
    </row>
    <row r="37" spans="1:15" x14ac:dyDescent="0.25">
      <c r="A37" s="529" t="str">
        <f>Weather_Site!A14</f>
        <v>Mon</v>
      </c>
      <c r="B37" s="530">
        <f>Weather_Site!B14</f>
        <v>41281</v>
      </c>
      <c r="C37" s="531">
        <f>Weather_Site!C14</f>
        <v>0.29166666666666669</v>
      </c>
      <c r="D37" s="529">
        <f>Weather_Site!D14</f>
        <v>17.7</v>
      </c>
      <c r="E37" s="529">
        <f>Weather_Site!E14</f>
        <v>92.7</v>
      </c>
      <c r="F37" s="529">
        <f>Weather_Site!F14</f>
        <v>162</v>
      </c>
      <c r="G37" s="529">
        <f>Weather_Site!G14</f>
        <v>2</v>
      </c>
      <c r="H37" s="27">
        <f>IF(Weather_Site!M14&lt;180,Weather_Site!M14+180,Weather_Site!M14-180)</f>
        <v>342</v>
      </c>
      <c r="I37" s="33">
        <f t="shared" si="0"/>
        <v>1.4814814814814814</v>
      </c>
      <c r="J37" s="548"/>
      <c r="K37" s="32">
        <f t="shared" si="1"/>
        <v>-1.162629629629631</v>
      </c>
      <c r="L37" s="32">
        <f t="shared" si="2"/>
        <v>0</v>
      </c>
      <c r="M37" s="533">
        <f t="shared" si="3"/>
        <v>0</v>
      </c>
      <c r="N37" s="32">
        <f t="shared" si="4"/>
        <v>0</v>
      </c>
      <c r="O37" s="402">
        <f t="shared" si="5"/>
        <v>0</v>
      </c>
    </row>
    <row r="38" spans="1:15" x14ac:dyDescent="0.25">
      <c r="A38" s="529" t="str">
        <f>Weather_Site!A15</f>
        <v>Mon</v>
      </c>
      <c r="B38" s="530">
        <f>Weather_Site!B15</f>
        <v>41281</v>
      </c>
      <c r="C38" s="531">
        <f>Weather_Site!C15</f>
        <v>0.33333333333333331</v>
      </c>
      <c r="D38" s="529">
        <f>Weather_Site!D15</f>
        <v>18.399999999999999</v>
      </c>
      <c r="E38" s="529">
        <f>Weather_Site!E15</f>
        <v>87</v>
      </c>
      <c r="F38" s="529">
        <f>Weather_Site!F15</f>
        <v>160</v>
      </c>
      <c r="G38" s="529">
        <f>Weather_Site!G15</f>
        <v>2</v>
      </c>
      <c r="H38" s="27">
        <f>IF(Weather_Site!M15&lt;180,Weather_Site!M15+180,Weather_Site!M15-180)</f>
        <v>340</v>
      </c>
      <c r="I38" s="33">
        <f t="shared" si="0"/>
        <v>1.4814814814814814</v>
      </c>
      <c r="J38" s="548"/>
      <c r="K38" s="32">
        <f t="shared" si="1"/>
        <v>-1.162629629629631</v>
      </c>
      <c r="L38" s="32">
        <f t="shared" si="2"/>
        <v>0</v>
      </c>
      <c r="M38" s="533">
        <f t="shared" si="3"/>
        <v>0</v>
      </c>
      <c r="N38" s="32">
        <f t="shared" si="4"/>
        <v>0</v>
      </c>
      <c r="O38" s="402">
        <f t="shared" si="5"/>
        <v>0</v>
      </c>
    </row>
    <row r="39" spans="1:15" x14ac:dyDescent="0.25">
      <c r="A39" s="529" t="str">
        <f>Weather_Site!A16</f>
        <v>Mon</v>
      </c>
      <c r="B39" s="530">
        <f>Weather_Site!B16</f>
        <v>41281</v>
      </c>
      <c r="C39" s="531">
        <f>Weather_Site!C16</f>
        <v>0.375</v>
      </c>
      <c r="D39" s="529">
        <f>Weather_Site!D16</f>
        <v>19.8</v>
      </c>
      <c r="E39" s="529">
        <f>Weather_Site!E16</f>
        <v>78.3</v>
      </c>
      <c r="F39" s="529">
        <f>Weather_Site!F16</f>
        <v>123</v>
      </c>
      <c r="G39" s="529">
        <f>Weather_Site!G16</f>
        <v>4</v>
      </c>
      <c r="H39" s="27">
        <f>IF(Weather_Site!M16&lt;180,Weather_Site!M16+180,Weather_Site!M16-180)</f>
        <v>303</v>
      </c>
      <c r="I39" s="33">
        <f t="shared" si="0"/>
        <v>2.9629629629629628</v>
      </c>
      <c r="J39" s="548"/>
      <c r="K39" s="32">
        <f t="shared" si="1"/>
        <v>-0.55225925925926056</v>
      </c>
      <c r="L39" s="32">
        <f t="shared" si="2"/>
        <v>0</v>
      </c>
      <c r="M39" s="533">
        <f t="shared" si="3"/>
        <v>0</v>
      </c>
      <c r="N39" s="32">
        <f t="shared" si="4"/>
        <v>0</v>
      </c>
      <c r="O39" s="402">
        <f t="shared" si="5"/>
        <v>0</v>
      </c>
    </row>
    <row r="40" spans="1:15" x14ac:dyDescent="0.25">
      <c r="A40" s="544" t="str">
        <f>Weather_Site!A17</f>
        <v>Mon</v>
      </c>
      <c r="B40" s="545">
        <f>Weather_Site!B17</f>
        <v>41281</v>
      </c>
      <c r="C40" s="546">
        <f>Weather_Site!C17</f>
        <v>0.41666666666666669</v>
      </c>
      <c r="D40" s="544">
        <f>Weather_Site!D17</f>
        <v>21.7</v>
      </c>
      <c r="E40" s="544">
        <f>Weather_Site!E17</f>
        <v>69.599999999999994</v>
      </c>
      <c r="F40" s="544">
        <f>Weather_Site!F17</f>
        <v>51</v>
      </c>
      <c r="G40" s="544">
        <f>Weather_Site!G17</f>
        <v>6</v>
      </c>
      <c r="H40" s="547">
        <f>IF(Weather_Site!M17&lt;180,Weather_Site!M17+180,Weather_Site!M17-180)</f>
        <v>231</v>
      </c>
      <c r="I40" s="541">
        <f t="shared" si="0"/>
        <v>4.4444444444444438</v>
      </c>
      <c r="J40" s="548"/>
      <c r="K40" s="481">
        <f t="shared" si="1"/>
        <v>5.8111111111109892E-2</v>
      </c>
      <c r="L40" s="481">
        <f t="shared" si="2"/>
        <v>0.51452369091863781</v>
      </c>
      <c r="M40" s="542">
        <f t="shared" si="3"/>
        <v>278.47409844243276</v>
      </c>
      <c r="N40" s="481">
        <f t="shared" si="4"/>
        <v>1.5652624684524155</v>
      </c>
      <c r="O40" s="543">
        <f t="shared" si="5"/>
        <v>719.43783332602504</v>
      </c>
    </row>
    <row r="41" spans="1:15" x14ac:dyDescent="0.25">
      <c r="A41" s="544"/>
      <c r="B41" s="545"/>
      <c r="C41" s="546"/>
      <c r="D41" s="544"/>
      <c r="E41" s="544"/>
      <c r="F41" s="544"/>
      <c r="G41" s="544"/>
      <c r="H41" s="547"/>
      <c r="I41" s="541"/>
      <c r="J41" s="548"/>
      <c r="K41" s="481"/>
      <c r="L41" s="481"/>
      <c r="M41" s="542"/>
      <c r="N41" s="481"/>
      <c r="O41" s="543"/>
    </row>
    <row r="42" spans="1:15" x14ac:dyDescent="0.25">
      <c r="A42" s="544"/>
      <c r="B42" s="545"/>
      <c r="C42" s="546"/>
      <c r="D42" s="544"/>
      <c r="E42" s="544"/>
      <c r="F42" s="544"/>
      <c r="G42" s="544"/>
      <c r="H42" s="547"/>
      <c r="I42" s="541"/>
      <c r="J42" s="548"/>
      <c r="K42" s="481"/>
      <c r="L42" s="481"/>
      <c r="M42" s="542"/>
      <c r="N42" s="481"/>
      <c r="O42" s="543"/>
    </row>
    <row r="43" spans="1:15" x14ac:dyDescent="0.25">
      <c r="A43" s="544"/>
      <c r="B43" s="545"/>
      <c r="C43" s="546"/>
      <c r="D43" s="544"/>
      <c r="E43" s="544"/>
      <c r="F43" s="544"/>
      <c r="G43" s="544"/>
      <c r="H43" s="547"/>
      <c r="I43" s="541"/>
      <c r="J43" s="548"/>
      <c r="K43" s="481"/>
      <c r="L43" s="481"/>
      <c r="M43" s="542"/>
      <c r="N43" s="481"/>
      <c r="O43" s="543"/>
    </row>
    <row r="44" spans="1:15" x14ac:dyDescent="0.25">
      <c r="A44" s="544"/>
      <c r="B44" s="545"/>
      <c r="C44" s="546"/>
      <c r="D44" s="544"/>
      <c r="E44" s="544"/>
      <c r="F44" s="544"/>
      <c r="G44" s="544"/>
      <c r="H44" s="547"/>
      <c r="I44" s="541"/>
      <c r="J44" s="548"/>
      <c r="K44" s="481"/>
      <c r="L44" s="481"/>
      <c r="M44" s="542"/>
      <c r="N44" s="481"/>
      <c r="O44" s="543"/>
    </row>
    <row r="45" spans="1:15" x14ac:dyDescent="0.25">
      <c r="A45" s="529"/>
      <c r="B45" s="530"/>
      <c r="C45" s="531"/>
      <c r="D45" s="529"/>
      <c r="E45" s="529"/>
      <c r="F45" s="529"/>
      <c r="G45" s="529"/>
      <c r="H45" s="27"/>
      <c r="I45" s="33"/>
      <c r="J45" s="548"/>
      <c r="K45" s="32"/>
      <c r="L45" s="32"/>
      <c r="M45" s="533"/>
      <c r="N45" s="32"/>
      <c r="O45" s="402"/>
    </row>
    <row r="46" spans="1:15" x14ac:dyDescent="0.25">
      <c r="A46" s="529"/>
      <c r="B46" s="530"/>
      <c r="C46" s="531"/>
      <c r="D46" s="529"/>
      <c r="E46" s="529"/>
      <c r="F46" s="529"/>
      <c r="G46" s="529"/>
      <c r="H46" s="27"/>
      <c r="I46" s="33"/>
      <c r="J46" s="548"/>
      <c r="K46" s="32"/>
      <c r="L46" s="32"/>
      <c r="M46" s="533"/>
      <c r="N46" s="32"/>
      <c r="O46" s="402"/>
    </row>
    <row r="47" spans="1:15" x14ac:dyDescent="0.25">
      <c r="A47" s="529"/>
      <c r="B47" s="530"/>
      <c r="C47" s="531"/>
      <c r="D47" s="529"/>
      <c r="E47" s="529"/>
      <c r="F47" s="529"/>
      <c r="G47" s="529"/>
      <c r="H47" s="27"/>
      <c r="I47" s="33"/>
      <c r="J47" s="548"/>
      <c r="K47" s="32"/>
      <c r="L47" s="32"/>
      <c r="M47" s="533"/>
      <c r="N47" s="32"/>
      <c r="O47" s="402"/>
    </row>
    <row r="48" spans="1:15" x14ac:dyDescent="0.25">
      <c r="A48" s="529"/>
      <c r="B48" s="530"/>
      <c r="C48" s="531"/>
      <c r="D48" s="529"/>
      <c r="E48" s="529"/>
      <c r="F48" s="529"/>
      <c r="G48" s="529"/>
      <c r="H48" s="27"/>
      <c r="I48" s="33"/>
      <c r="J48" s="548"/>
      <c r="K48" s="32"/>
      <c r="L48" s="32"/>
      <c r="M48" s="533"/>
      <c r="N48" s="32"/>
      <c r="O48" s="402"/>
    </row>
    <row r="49" spans="1:15" x14ac:dyDescent="0.25">
      <c r="A49" s="529"/>
      <c r="B49" s="530"/>
      <c r="C49" s="531"/>
      <c r="D49" s="529"/>
      <c r="E49" s="529"/>
      <c r="F49" s="529"/>
      <c r="G49" s="529"/>
      <c r="H49" s="27"/>
      <c r="I49" s="33"/>
      <c r="J49" s="548"/>
      <c r="K49" s="32"/>
      <c r="L49" s="32"/>
      <c r="M49" s="533"/>
      <c r="N49" s="32"/>
      <c r="O49" s="402"/>
    </row>
    <row r="50" spans="1:15" x14ac:dyDescent="0.25">
      <c r="A50" s="544"/>
      <c r="B50" s="545"/>
      <c r="C50" s="546"/>
      <c r="D50" s="544"/>
      <c r="E50" s="544"/>
      <c r="F50" s="544"/>
      <c r="G50" s="544"/>
      <c r="H50" s="547"/>
      <c r="I50" s="541"/>
      <c r="J50" s="548"/>
      <c r="K50" s="481"/>
      <c r="L50" s="481"/>
      <c r="M50" s="542"/>
      <c r="N50" s="481"/>
      <c r="O50" s="543"/>
    </row>
    <row r="51" spans="1:15" x14ac:dyDescent="0.25">
      <c r="A51" s="544"/>
      <c r="B51" s="545"/>
      <c r="C51" s="546"/>
      <c r="D51" s="544"/>
      <c r="E51" s="544"/>
      <c r="F51" s="544"/>
      <c r="G51" s="544"/>
      <c r="H51" s="547"/>
      <c r="I51" s="541"/>
      <c r="J51" s="548"/>
      <c r="K51" s="481"/>
      <c r="L51" s="481"/>
      <c r="M51" s="542"/>
      <c r="N51" s="481"/>
      <c r="O51" s="543"/>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Mon</v>
      </c>
      <c r="B9" s="74">
        <f>Weather_Site!B12</f>
        <v>41281</v>
      </c>
      <c r="C9" s="75">
        <f>Weather_Site!C12</f>
        <v>0.20833333333333334</v>
      </c>
      <c r="D9" s="29">
        <f>Weather_Site!D12</f>
        <v>17.5</v>
      </c>
      <c r="E9" s="29">
        <f>Weather_Site!E12</f>
        <v>93.9</v>
      </c>
      <c r="F9" s="29">
        <f>Weather_Site!F12</f>
        <v>168</v>
      </c>
      <c r="G9" s="29">
        <f>Weather_Site!G12</f>
        <v>5</v>
      </c>
      <c r="H9" s="27">
        <f>IF(Weather_Site!M12&lt;180,Weather_Site!M12+180,Weather_Site!M12-180)</f>
        <v>348</v>
      </c>
      <c r="I9" s="42">
        <f>49*(G9*0.67)^1.21*$C$4^0.54</f>
        <v>211.59251300273795</v>
      </c>
      <c r="J9" s="484">
        <f>516*I9/1000*(2.5*C$4+2)</f>
        <v>491.31781519235756</v>
      </c>
      <c r="K9" s="32">
        <f>4.37+0.161*E9-0.1*(D9-25)-(0.027*E9*(IF(AND(AND(C9&gt;0.49,C9&lt;0.7),OR(MONTH(B9&gt;9),MONTH(B9&lt;4))),1,0)))</f>
        <v>20.2379</v>
      </c>
      <c r="L9" s="63">
        <f>IF(G9&gt;=5,(5.67*(0.67*G9)^0.91*$C$4^0.22*EXP(-0.076*K9)),((5+0.2*(5.67*(5*0.67)^0.91-5)*G9)*$C$4^0.22*EXP(-0.076*K9)))*60</f>
        <v>219.55597132870332</v>
      </c>
      <c r="M9" s="63">
        <f>IF(G9&gt;=5,(5.67*(0.35*G9)^0.91*$C$4^0.22*EXP(-0.076*K9)),((5+0.2*(5.67*(5*0.35)^0.91-5)*G9)*$C$4^0.22*EXP(-0.076*K9)))*60</f>
        <v>121.59594804554413</v>
      </c>
    </row>
    <row r="10" spans="1:13" x14ac:dyDescent="0.25">
      <c r="A10" s="29" t="str">
        <f>Weather_Site!A13</f>
        <v>Mon</v>
      </c>
      <c r="B10" s="74">
        <f>Weather_Site!B13</f>
        <v>41281</v>
      </c>
      <c r="C10" s="75">
        <f>Weather_Site!C13</f>
        <v>0.25</v>
      </c>
      <c r="D10" s="29">
        <f>Weather_Site!D13</f>
        <v>17.5</v>
      </c>
      <c r="E10" s="29">
        <f>Weather_Site!E13</f>
        <v>94.5</v>
      </c>
      <c r="F10" s="29">
        <f>Weather_Site!F13</f>
        <v>166</v>
      </c>
      <c r="G10" s="29">
        <f>Weather_Site!G13</f>
        <v>3</v>
      </c>
      <c r="H10" s="27">
        <f>IF(Weather_Site!M13&lt;180,Weather_Site!M13+180,Weather_Site!M13-180)</f>
        <v>346</v>
      </c>
      <c r="I10" s="42">
        <f t="shared" ref="I10:I14" si="0">49*(G10*0.67)^1.21*$C$4^0.54</f>
        <v>114.04160201917657</v>
      </c>
      <c r="J10" s="484">
        <f t="shared" ref="J10:J14" si="1">516*I10/1000*(2.5*C$4+2)</f>
        <v>264.804599888528</v>
      </c>
      <c r="K10" s="32">
        <f t="shared" ref="K10:K14" si="2">4.37+0.161*E10-0.1*(D10-25)-(0.027*E10*(IF(AND(AND(C10&gt;0.49,C10&lt;0.7),OR(MONTH(B10&gt;9),MONTH(B10&lt;4))),1,0)))</f>
        <v>20.334500000000002</v>
      </c>
      <c r="L10" s="63">
        <f t="shared" ref="L10:L14" si="3">IF(G10&gt;=5,(5.67*(0.67*G10)^0.91*$C$4^0.22*EXP(-0.076*K10)),((5+0.2*(5.67*(5*0.67)^0.91-5)*G10)*$C$4^0.22*EXP(-0.076*K10)))*60</f>
        <v>156.35661372639933</v>
      </c>
      <c r="M10" s="63">
        <f t="shared" ref="M10:M14" si="4">IF(G10&gt;=5,(5.67*(0.35*G10)^0.91*$C$4^0.22*EXP(-0.076*K10)),((5+0.2*(5.67*(5*0.35)^0.91-5)*G10)*$C$4^0.22*EXP(-0.076*K10)))*60</f>
        <v>98.01052962304378</v>
      </c>
    </row>
    <row r="11" spans="1:13" x14ac:dyDescent="0.25">
      <c r="A11" s="29" t="str">
        <f>Weather_Site!A14</f>
        <v>Mon</v>
      </c>
      <c r="B11" s="74">
        <f>Weather_Site!B14</f>
        <v>41281</v>
      </c>
      <c r="C11" s="75">
        <f>Weather_Site!C14</f>
        <v>0.29166666666666669</v>
      </c>
      <c r="D11" s="29">
        <f>Weather_Site!D14</f>
        <v>17.7</v>
      </c>
      <c r="E11" s="29">
        <f>Weather_Site!E14</f>
        <v>92.7</v>
      </c>
      <c r="F11" s="29">
        <f>Weather_Site!F14</f>
        <v>162</v>
      </c>
      <c r="G11" s="29">
        <f>Weather_Site!G14</f>
        <v>2</v>
      </c>
      <c r="H11" s="27">
        <f>IF(Weather_Site!M14&lt;180,Weather_Site!M14+180,Weather_Site!M14-180)</f>
        <v>342</v>
      </c>
      <c r="I11" s="42">
        <f t="shared" si="0"/>
        <v>69.822096679214027</v>
      </c>
      <c r="J11" s="484">
        <f t="shared" si="1"/>
        <v>162.12690848913499</v>
      </c>
      <c r="K11" s="32">
        <f t="shared" si="2"/>
        <v>20.024700000000003</v>
      </c>
      <c r="L11" s="63">
        <f t="shared" si="3"/>
        <v>128.55129048470343</v>
      </c>
      <c r="M11" s="63">
        <f t="shared" si="4"/>
        <v>88.727203179853632</v>
      </c>
    </row>
    <row r="12" spans="1:13" x14ac:dyDescent="0.25">
      <c r="A12" s="29" t="str">
        <f>Weather_Site!A15</f>
        <v>Mon</v>
      </c>
      <c r="B12" s="74">
        <f>Weather_Site!B15</f>
        <v>41281</v>
      </c>
      <c r="C12" s="75">
        <f>Weather_Site!C15</f>
        <v>0.33333333333333331</v>
      </c>
      <c r="D12" s="29">
        <f>Weather_Site!D15</f>
        <v>18.399999999999999</v>
      </c>
      <c r="E12" s="29">
        <f>Weather_Site!E15</f>
        <v>87</v>
      </c>
      <c r="F12" s="29">
        <f>Weather_Site!F15</f>
        <v>160</v>
      </c>
      <c r="G12" s="29">
        <f>Weather_Site!G15</f>
        <v>2</v>
      </c>
      <c r="H12" s="27">
        <f>IF(Weather_Site!M15&lt;180,Weather_Site!M15+180,Weather_Site!M15-180)</f>
        <v>340</v>
      </c>
      <c r="I12" s="42">
        <f t="shared" si="0"/>
        <v>69.822096679214027</v>
      </c>
      <c r="J12" s="484">
        <f t="shared" si="1"/>
        <v>162.12690848913499</v>
      </c>
      <c r="K12" s="32">
        <f t="shared" si="2"/>
        <v>19.036999999999999</v>
      </c>
      <c r="L12" s="63">
        <f t="shared" si="3"/>
        <v>138.57243321734191</v>
      </c>
      <c r="M12" s="63">
        <f t="shared" si="4"/>
        <v>95.643881837691993</v>
      </c>
    </row>
    <row r="13" spans="1:13" x14ac:dyDescent="0.25">
      <c r="A13" s="29" t="str">
        <f>Weather_Site!A16</f>
        <v>Mon</v>
      </c>
      <c r="B13" s="74">
        <f>Weather_Site!B16</f>
        <v>41281</v>
      </c>
      <c r="C13" s="75">
        <f>Weather_Site!C16</f>
        <v>0.375</v>
      </c>
      <c r="D13" s="29">
        <f>Weather_Site!D16</f>
        <v>19.8</v>
      </c>
      <c r="E13" s="29">
        <f>Weather_Site!E16</f>
        <v>78.3</v>
      </c>
      <c r="F13" s="29">
        <f>Weather_Site!F16</f>
        <v>123</v>
      </c>
      <c r="G13" s="29">
        <f>Weather_Site!G16</f>
        <v>4</v>
      </c>
      <c r="H13" s="27">
        <f>IF(Weather_Site!M16&lt;180,Weather_Site!M16+180,Weather_Site!M16-180)</f>
        <v>303</v>
      </c>
      <c r="I13" s="42">
        <f t="shared" si="0"/>
        <v>161.52478840867892</v>
      </c>
      <c r="J13" s="484">
        <f t="shared" si="1"/>
        <v>375.06055868495241</v>
      </c>
      <c r="K13" s="32">
        <f t="shared" si="2"/>
        <v>17.496299999999998</v>
      </c>
      <c r="L13" s="63">
        <f t="shared" si="3"/>
        <v>232.20747361655918</v>
      </c>
      <c r="M13" s="63">
        <f t="shared" si="4"/>
        <v>135.68484073770537</v>
      </c>
    </row>
    <row r="14" spans="1:13" x14ac:dyDescent="0.25">
      <c r="A14" s="50" t="str">
        <f>Weather_Site!A17</f>
        <v>Mon</v>
      </c>
      <c r="B14" s="76">
        <f>Weather_Site!B17</f>
        <v>41281</v>
      </c>
      <c r="C14" s="77">
        <f>Weather_Site!C17</f>
        <v>0.41666666666666669</v>
      </c>
      <c r="D14" s="50">
        <f>Weather_Site!D17</f>
        <v>21.7</v>
      </c>
      <c r="E14" s="50">
        <f>Weather_Site!E17</f>
        <v>69.599999999999994</v>
      </c>
      <c r="F14" s="50">
        <f>Weather_Site!F17</f>
        <v>51</v>
      </c>
      <c r="G14" s="50">
        <f>Weather_Site!G17</f>
        <v>6</v>
      </c>
      <c r="H14" s="48">
        <f>IF(Weather_Site!M17&lt;180,Weather_Site!M17+180,Weather_Site!M17-180)</f>
        <v>231</v>
      </c>
      <c r="I14" s="480">
        <f t="shared" si="0"/>
        <v>263.82114705842173</v>
      </c>
      <c r="J14" s="485">
        <f t="shared" si="1"/>
        <v>612.59270346965536</v>
      </c>
      <c r="K14" s="481">
        <f t="shared" si="2"/>
        <v>15.905599999999998</v>
      </c>
      <c r="L14" s="482">
        <f t="shared" si="3"/>
        <v>360.24148972610027</v>
      </c>
      <c r="M14" s="482">
        <f t="shared" si="4"/>
        <v>199.51133737558092</v>
      </c>
    </row>
    <row r="15" spans="1:13" x14ac:dyDescent="0.25">
      <c r="A15" s="50"/>
      <c r="B15" s="76"/>
      <c r="C15" s="77"/>
      <c r="D15" s="50"/>
      <c r="E15" s="50"/>
      <c r="F15" s="50"/>
      <c r="G15" s="50"/>
      <c r="H15" s="48"/>
      <c r="I15" s="480"/>
      <c r="J15" s="485"/>
      <c r="K15" s="481"/>
      <c r="L15" s="482"/>
      <c r="M15" s="482"/>
    </row>
    <row r="16" spans="1:13" x14ac:dyDescent="0.25">
      <c r="A16" s="50"/>
      <c r="B16" s="76"/>
      <c r="C16" s="77"/>
      <c r="D16" s="50"/>
      <c r="E16" s="50"/>
      <c r="F16" s="50"/>
      <c r="G16" s="50"/>
      <c r="H16" s="48"/>
      <c r="I16" s="480"/>
      <c r="J16" s="485"/>
      <c r="K16" s="481"/>
      <c r="L16" s="482"/>
      <c r="M16" s="482"/>
    </row>
    <row r="17" spans="1:13" x14ac:dyDescent="0.25">
      <c r="A17" s="50"/>
      <c r="B17" s="76"/>
      <c r="C17" s="77"/>
      <c r="D17" s="50"/>
      <c r="E17" s="50"/>
      <c r="F17" s="50"/>
      <c r="G17" s="50"/>
      <c r="H17" s="48"/>
      <c r="I17" s="480"/>
      <c r="J17" s="485"/>
      <c r="K17" s="481"/>
      <c r="L17" s="482"/>
      <c r="M17" s="482"/>
    </row>
    <row r="18" spans="1:13" x14ac:dyDescent="0.25">
      <c r="A18" s="50"/>
      <c r="B18" s="76"/>
      <c r="C18" s="77"/>
      <c r="D18" s="50"/>
      <c r="E18" s="50"/>
      <c r="F18" s="50"/>
      <c r="G18" s="50"/>
      <c r="H18" s="48"/>
      <c r="I18" s="480"/>
      <c r="J18" s="485"/>
      <c r="K18" s="481"/>
      <c r="L18" s="482"/>
      <c r="M18" s="482"/>
    </row>
    <row r="19" spans="1:13" x14ac:dyDescent="0.25">
      <c r="A19" s="29"/>
      <c r="B19" s="74"/>
      <c r="C19" s="75"/>
      <c r="D19" s="29"/>
      <c r="E19" s="29"/>
      <c r="F19" s="29"/>
      <c r="G19" s="29"/>
      <c r="H19" s="27"/>
      <c r="I19" s="42"/>
      <c r="J19" s="484"/>
      <c r="K19" s="32"/>
      <c r="L19" s="63"/>
      <c r="M19" s="63"/>
    </row>
    <row r="20" spans="1:13" x14ac:dyDescent="0.25">
      <c r="A20" s="29"/>
      <c r="B20" s="74"/>
      <c r="C20" s="75"/>
      <c r="D20" s="29"/>
      <c r="E20" s="29"/>
      <c r="F20" s="29"/>
      <c r="G20" s="29"/>
      <c r="H20" s="27"/>
      <c r="I20" s="42"/>
      <c r="J20" s="484"/>
      <c r="K20" s="32"/>
      <c r="L20" s="63"/>
      <c r="M20" s="63"/>
    </row>
    <row r="21" spans="1:13" x14ac:dyDescent="0.25">
      <c r="A21" s="29"/>
      <c r="B21" s="74"/>
      <c r="C21" s="75"/>
      <c r="D21" s="29"/>
      <c r="E21" s="29"/>
      <c r="F21" s="29"/>
      <c r="G21" s="29"/>
      <c r="H21" s="27"/>
      <c r="I21" s="33"/>
      <c r="J21" s="322"/>
      <c r="K21" s="5"/>
      <c r="L21" s="5"/>
      <c r="M21" s="5"/>
    </row>
    <row r="22" spans="1:13" x14ac:dyDescent="0.25">
      <c r="A22" s="29"/>
      <c r="B22" s="74"/>
      <c r="C22" s="75"/>
      <c r="D22" s="29"/>
      <c r="E22" s="29"/>
      <c r="F22" s="29"/>
      <c r="G22" s="29"/>
      <c r="H22" s="27"/>
      <c r="I22" s="33"/>
      <c r="J22" s="322"/>
      <c r="K22" s="5"/>
      <c r="L22" s="5"/>
      <c r="M22" s="5"/>
    </row>
    <row r="23" spans="1:13" x14ac:dyDescent="0.25">
      <c r="A23" s="29"/>
      <c r="B23" s="74"/>
      <c r="C23" s="75"/>
      <c r="D23" s="29"/>
      <c r="E23" s="29"/>
      <c r="F23" s="29"/>
      <c r="G23" s="29"/>
      <c r="H23" s="27"/>
      <c r="I23" s="33"/>
      <c r="J23" s="322"/>
      <c r="K23" s="5"/>
      <c r="L23" s="5"/>
      <c r="M23" s="5"/>
    </row>
    <row r="24" spans="1:13" x14ac:dyDescent="0.25">
      <c r="A24" s="50"/>
      <c r="B24" s="76"/>
      <c r="C24" s="77"/>
      <c r="D24" s="50"/>
      <c r="E24" s="50"/>
      <c r="F24" s="50"/>
      <c r="G24" s="50"/>
      <c r="H24" s="48"/>
      <c r="I24" s="52"/>
      <c r="J24" s="353"/>
      <c r="K24" s="483"/>
      <c r="L24" s="483"/>
      <c r="M24" s="483"/>
    </row>
    <row r="25" spans="1:13" x14ac:dyDescent="0.25">
      <c r="A25" s="50"/>
      <c r="B25" s="76"/>
      <c r="C25" s="77"/>
      <c r="D25" s="50"/>
      <c r="E25" s="50"/>
      <c r="F25" s="50"/>
      <c r="G25" s="50"/>
      <c r="H25" s="48"/>
      <c r="I25" s="52"/>
      <c r="J25" s="353"/>
      <c r="K25" s="483"/>
      <c r="L25" s="483"/>
      <c r="M25" s="483"/>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Mon</v>
      </c>
      <c r="B11" s="74">
        <f>Weather_Site!B12</f>
        <v>41281</v>
      </c>
      <c r="C11" s="75">
        <f>Weather_Site!C12</f>
        <v>0.20833333333333334</v>
      </c>
      <c r="D11" s="29">
        <f>Weather_Site!D12</f>
        <v>17.5</v>
      </c>
      <c r="E11" s="29">
        <f>Weather_Site!E12</f>
        <v>93.9</v>
      </c>
      <c r="F11" s="29">
        <f>Weather_Site!F12</f>
        <v>168</v>
      </c>
      <c r="G11" s="29">
        <f>Weather_Site!G12</f>
        <v>5</v>
      </c>
      <c r="H11" s="419"/>
      <c r="I11" s="27">
        <f>IF(Weather_Site!M12&lt;180,Weather_Site!M12+180,Weather_Site!M12-180)</f>
        <v>348</v>
      </c>
      <c r="J11" s="389">
        <f>'Forest(McArthur)'!U9</f>
        <v>20.956053397694053</v>
      </c>
      <c r="K11" s="389">
        <f>'Forest(VESTA)'!J14</f>
        <v>14.015054934283592</v>
      </c>
      <c r="L11" s="389">
        <f>4.74+0.108*E11-0.1*(D11-25)-(1.68+0.028*E11)</f>
        <v>11.322000000000001</v>
      </c>
      <c r="M11" s="420"/>
      <c r="N11" s="31">
        <f>IF(H11&gt;0,1/(1+EXP(-(16.626+0.7536*H11-2.2569*IF(M11="",L11,M11)-34.106*$E$4/100))),0)</f>
        <v>0</v>
      </c>
      <c r="O11" s="31">
        <f>1/(1+EXP(-(14.626+0.2066*G11-1.8719*IF(M11="",L11,M11)-30.442*$E$4/100)))</f>
        <v>8.9571294412442349E-6</v>
      </c>
      <c r="P11" s="31">
        <f>1/(1+EXP(-(-11.138+1.4054*G11-3.4217*IF(M11="",L11,M11))))</f>
        <v>2.4537792004817006E-19</v>
      </c>
      <c r="Q11" s="399">
        <f>IF(H11&gt;0,(4.0276+H11*EXP(-0.1246*IF(M11="",L11,M11)))*60,0)</f>
        <v>0</v>
      </c>
      <c r="R11" s="399">
        <f>O11*(3.337*G11*EXP(-0.1284*IF(M11="",L11,M11))*$E$5^-0.7073)*60</f>
        <v>9.6344095428102408E-4</v>
      </c>
      <c r="S11" s="322">
        <f>(9.5751*G11*EXP(-0.1795*IF(M11="",L11,M11))*($E$4/100)^0.3589)*60</f>
        <v>211.24575825301119</v>
      </c>
      <c r="T11" s="322">
        <f>(S11*P11)+(MAX(Q11,R11)*(1-P11))</f>
        <v>9.634409542810759E-4</v>
      </c>
      <c r="U11" s="402">
        <f>18600*$E$6/10*T11/3600</f>
        <v>3.9822226110284471E-3</v>
      </c>
      <c r="V11" s="403">
        <f>0.01589*U11^0.633</f>
        <v>4.8084306878837929E-4</v>
      </c>
      <c r="W11" s="406"/>
    </row>
    <row r="12" spans="1:24" x14ac:dyDescent="0.25">
      <c r="A12" s="29" t="str">
        <f>Weather_Site!A13</f>
        <v>Mon</v>
      </c>
      <c r="B12" s="74">
        <f>Weather_Site!B13</f>
        <v>41281</v>
      </c>
      <c r="C12" s="75">
        <f>Weather_Site!C13</f>
        <v>0.25</v>
      </c>
      <c r="D12" s="29">
        <f>Weather_Site!D13</f>
        <v>17.5</v>
      </c>
      <c r="E12" s="29">
        <f>Weather_Site!E13</f>
        <v>94.5</v>
      </c>
      <c r="F12" s="29">
        <f>Weather_Site!F13</f>
        <v>166</v>
      </c>
      <c r="G12" s="29">
        <f>Weather_Site!G13</f>
        <v>3</v>
      </c>
      <c r="H12" s="419"/>
      <c r="I12" s="27">
        <f>IF(Weather_Site!M13&lt;180,Weather_Site!M13+180,Weather_Site!M13-180)</f>
        <v>346</v>
      </c>
      <c r="J12" s="389">
        <f>'Forest(McArthur)'!U10</f>
        <v>21.21644288067618</v>
      </c>
      <c r="K12" s="389">
        <f>'Forest(VESTA)'!J15</f>
        <v>14.076377540048478</v>
      </c>
      <c r="L12" s="389">
        <f t="shared" ref="L12:L15" si="0">4.74+0.108*E12-0.1*(D12-25)-(1.68+0.028*E12)</f>
        <v>11.370000000000001</v>
      </c>
      <c r="M12" s="420"/>
      <c r="N12" s="31">
        <f t="shared" ref="N12:N15" si="1">IF(H12&gt;0,1/(1+EXP(-(16.626+0.7536*H12-2.2569*IF(M12="",L12,M12)-34.106*$E$4/100))),0)</f>
        <v>0</v>
      </c>
      <c r="O12" s="31">
        <f t="shared" ref="O12:O15" si="2">1/(1+EXP(-(14.626+0.2066*G12-1.8719*IF(M12="",L12,M12)-30.442*$E$4/100)))</f>
        <v>5.4162415920151814E-6</v>
      </c>
      <c r="P12" s="31">
        <f t="shared" ref="P12:P15" si="3">1/(1+EXP(-(-11.138+1.4054*G12-3.4217*IF(M12="",L12,M12))))</f>
        <v>1.2525392112585664E-20</v>
      </c>
      <c r="Q12" s="399">
        <f t="shared" ref="Q12:Q15" si="4">IF(H12&gt;0,(4.0276+H12*EXP(-0.1246*IF(M12="",L12,M12)))*60,0)</f>
        <v>0</v>
      </c>
      <c r="R12" s="399">
        <f t="shared" ref="R12:R15" si="5">O12*(3.337*G12*EXP(-0.1284*IF(M12="",L12,M12))*$E$5^-0.7073)*60</f>
        <v>3.4739925892207391E-4</v>
      </c>
      <c r="S12" s="322">
        <f t="shared" ref="S12:S15" si="6">(9.5751*G12*EXP(-0.1795*IF(M12="",L12,M12))*($E$4/100)^0.3589)*60</f>
        <v>125.66008997500658</v>
      </c>
      <c r="T12" s="322">
        <f t="shared" ref="T12:T15" si="7">(S12*P12)+(MAX(Q12,R12)*(1-P12))</f>
        <v>3.4739925892207548E-4</v>
      </c>
      <c r="U12" s="402">
        <f t="shared" ref="U12:U15" si="8">18600*$E$6/10*T12/3600</f>
        <v>1.435916936877912E-3</v>
      </c>
      <c r="V12" s="403">
        <f t="shared" ref="V12:V15" si="9">0.01589*U12^0.633</f>
        <v>2.5210807456871434E-4</v>
      </c>
      <c r="W12" s="406"/>
    </row>
    <row r="13" spans="1:24" x14ac:dyDescent="0.25">
      <c r="A13" s="29" t="str">
        <f>Weather_Site!A14</f>
        <v>Mon</v>
      </c>
      <c r="B13" s="74">
        <f>Weather_Site!B14</f>
        <v>41281</v>
      </c>
      <c r="C13" s="75">
        <f>Weather_Site!C14</f>
        <v>0.29166666666666669</v>
      </c>
      <c r="D13" s="29">
        <f>Weather_Site!D14</f>
        <v>17.7</v>
      </c>
      <c r="E13" s="29">
        <f>Weather_Site!E14</f>
        <v>92.7</v>
      </c>
      <c r="F13" s="29">
        <f>Weather_Site!F14</f>
        <v>162</v>
      </c>
      <c r="G13" s="29">
        <f>Weather_Site!G14</f>
        <v>2</v>
      </c>
      <c r="H13" s="419"/>
      <c r="I13" s="27">
        <f>IF(Weather_Site!M14&lt;180,Weather_Site!M14+180,Weather_Site!M14-180)</f>
        <v>342</v>
      </c>
      <c r="J13" s="389">
        <f>'Forest(McArthur)'!U11</f>
        <v>20.319482178192569</v>
      </c>
      <c r="K13" s="389">
        <f>'Forest(VESTA)'!J16</f>
        <v>13.873024944221093</v>
      </c>
      <c r="L13" s="389">
        <f t="shared" si="0"/>
        <v>11.206</v>
      </c>
      <c r="M13" s="420"/>
      <c r="N13" s="31">
        <f t="shared" si="1"/>
        <v>0</v>
      </c>
      <c r="O13" s="31">
        <f t="shared" si="2"/>
        <v>5.9882137944294529E-6</v>
      </c>
      <c r="P13" s="31">
        <f t="shared" si="3"/>
        <v>5.3844585238309858E-21</v>
      </c>
      <c r="Q13" s="399">
        <f t="shared" si="4"/>
        <v>0</v>
      </c>
      <c r="R13" s="399">
        <f t="shared" si="5"/>
        <v>2.615062648315632E-4</v>
      </c>
      <c r="S13" s="322">
        <f t="shared" si="6"/>
        <v>86.276172131638575</v>
      </c>
      <c r="T13" s="322">
        <f t="shared" si="7"/>
        <v>2.6150626483156369E-4</v>
      </c>
      <c r="U13" s="402">
        <f t="shared" si="8"/>
        <v>1.0808925613037966E-3</v>
      </c>
      <c r="V13" s="403">
        <f t="shared" si="9"/>
        <v>2.1062418486402176E-4</v>
      </c>
      <c r="W13" s="406"/>
    </row>
    <row r="14" spans="1:24" x14ac:dyDescent="0.25">
      <c r="A14" s="29" t="str">
        <f>Weather_Site!A15</f>
        <v>Mon</v>
      </c>
      <c r="B14" s="74">
        <f>Weather_Site!B15</f>
        <v>41281</v>
      </c>
      <c r="C14" s="75">
        <f>Weather_Site!C15</f>
        <v>0.33333333333333331</v>
      </c>
      <c r="D14" s="29">
        <f>Weather_Site!D15</f>
        <v>18.399999999999999</v>
      </c>
      <c r="E14" s="29">
        <f>Weather_Site!E15</f>
        <v>87</v>
      </c>
      <c r="F14" s="29">
        <f>Weather_Site!F15</f>
        <v>160</v>
      </c>
      <c r="G14" s="29">
        <f>Weather_Site!G15</f>
        <v>2</v>
      </c>
      <c r="H14" s="419"/>
      <c r="I14" s="27">
        <f>IF(Weather_Site!M15&lt;180,Weather_Site!M15+180,Weather_Site!M15-180)</f>
        <v>340</v>
      </c>
      <c r="J14" s="389">
        <f>'Forest(McArthur)'!U12</f>
        <v>17.715561323043215</v>
      </c>
      <c r="K14" s="389">
        <f>'Forest(VESTA)'!J17</f>
        <v>13.216625307670482</v>
      </c>
      <c r="L14" s="389">
        <f t="shared" si="0"/>
        <v>10.68</v>
      </c>
      <c r="M14" s="420"/>
      <c r="N14" s="31">
        <f t="shared" si="1"/>
        <v>0</v>
      </c>
      <c r="O14" s="31">
        <f t="shared" si="2"/>
        <v>1.6029047239853978E-5</v>
      </c>
      <c r="P14" s="31">
        <f t="shared" si="3"/>
        <v>3.2568024154856974E-20</v>
      </c>
      <c r="Q14" s="399">
        <f t="shared" si="4"/>
        <v>0</v>
      </c>
      <c r="R14" s="399">
        <f t="shared" si="5"/>
        <v>7.48900401642348E-4</v>
      </c>
      <c r="S14" s="322">
        <f t="shared" si="6"/>
        <v>94.819061041243359</v>
      </c>
      <c r="T14" s="322">
        <f t="shared" si="7"/>
        <v>7.4890040164235104E-4</v>
      </c>
      <c r="U14" s="402">
        <f t="shared" si="8"/>
        <v>3.095454993455051E-3</v>
      </c>
      <c r="V14" s="403">
        <f t="shared" si="9"/>
        <v>4.0997040021711737E-4</v>
      </c>
      <c r="W14" s="406"/>
    </row>
    <row r="15" spans="1:24" x14ac:dyDescent="0.25">
      <c r="A15" s="29" t="str">
        <f>Weather_Site!A16</f>
        <v>Mon</v>
      </c>
      <c r="B15" s="74">
        <f>Weather_Site!B16</f>
        <v>41281</v>
      </c>
      <c r="C15" s="75">
        <f>Weather_Site!C16</f>
        <v>0.375</v>
      </c>
      <c r="D15" s="29">
        <f>Weather_Site!D16</f>
        <v>19.8</v>
      </c>
      <c r="E15" s="29">
        <f>Weather_Site!E16</f>
        <v>78.3</v>
      </c>
      <c r="F15" s="29">
        <f>Weather_Site!F16</f>
        <v>123</v>
      </c>
      <c r="G15" s="29">
        <f>Weather_Site!G16</f>
        <v>4</v>
      </c>
      <c r="H15" s="419"/>
      <c r="I15" s="27">
        <f>IF(Weather_Site!M16&lt;180,Weather_Site!M16+180,Weather_Site!M16-180)</f>
        <v>303</v>
      </c>
      <c r="J15" s="389">
        <f>'Forest(McArthur)'!U13</f>
        <v>14.319483372308097</v>
      </c>
      <c r="K15" s="389">
        <f>'Forest(VESTA)'!J18</f>
        <v>12.170187238815213</v>
      </c>
      <c r="L15" s="389">
        <f t="shared" si="0"/>
        <v>9.8440000000000012</v>
      </c>
      <c r="M15" s="420"/>
      <c r="N15" s="31">
        <f t="shared" si="1"/>
        <v>0</v>
      </c>
      <c r="O15" s="31">
        <f t="shared" si="2"/>
        <v>1.1586330463831303E-4</v>
      </c>
      <c r="P15" s="31">
        <f t="shared" si="3"/>
        <v>9.4585289976228284E-18</v>
      </c>
      <c r="Q15" s="399">
        <f t="shared" si="4"/>
        <v>0</v>
      </c>
      <c r="R15" s="399">
        <f t="shared" si="5"/>
        <v>1.2053425101075895E-2</v>
      </c>
      <c r="S15" s="322">
        <f t="shared" si="6"/>
        <v>220.34172472556455</v>
      </c>
      <c r="T15" s="322">
        <f t="shared" si="7"/>
        <v>1.2053425101077979E-2</v>
      </c>
      <c r="U15" s="402">
        <f t="shared" si="8"/>
        <v>4.9820823751122317E-2</v>
      </c>
      <c r="V15" s="403">
        <f t="shared" si="9"/>
        <v>2.3800440739052005E-3</v>
      </c>
      <c r="W15" s="406"/>
    </row>
    <row r="16" spans="1:24" x14ac:dyDescent="0.25">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5">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5">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5">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5">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5">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5">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5">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5">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5">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5">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5">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Mon</v>
      </c>
      <c r="B13" s="58">
        <f>Weather_Site!B12</f>
        <v>41281</v>
      </c>
      <c r="C13" s="59">
        <f>Weather_Site!C12</f>
        <v>0.20833333333333334</v>
      </c>
      <c r="D13" s="3">
        <f>Weather_Site!D12</f>
        <v>17.5</v>
      </c>
      <c r="E13" s="3">
        <f>Weather_Site!E12</f>
        <v>93.9</v>
      </c>
      <c r="F13" s="3">
        <f>Weather_Site!F12</f>
        <v>168</v>
      </c>
      <c r="G13" s="3">
        <f>Weather_Site!G12</f>
        <v>5</v>
      </c>
      <c r="H13" s="3">
        <f>Weather_Site!I12</f>
        <v>10</v>
      </c>
      <c r="I13" s="3">
        <f>Weather_Site!J12</f>
        <v>10</v>
      </c>
      <c r="J13" s="32">
        <f>((1/273.16-0.000184*LN(((0.611*EXP((17.2694*((D13+273.16)-273.16))/((D13+273.16)-35.86)))*(E13/100))/0.611))^-1)-273.16</f>
        <v>16.342688283777932</v>
      </c>
      <c r="K13" s="32">
        <f>EXP(1.66+0.0214*E13-0.0292*J13)+(67.128*(1-EXP(-3.132*H13))*EXP(-0.0858*(I13*24)))</f>
        <v>24.343223260189351</v>
      </c>
      <c r="L13" s="27">
        <f>IF(Weather_Site!M12&lt;180,Weather_Site!M12+180,Weather_Site!M12-180)</f>
        <v>348</v>
      </c>
      <c r="M13" s="33">
        <f>(0.678*IF((G13*0.66)&lt;0.5,0.5,(G13*0.66))^1.313*EXP(-0.0243*K13)*(1-EXP(-0.116*IF($C$4=0,20,$C$4)))*EXP(0.0693*$C$8))*60</f>
        <v>107.8635389339893</v>
      </c>
      <c r="N13" s="32">
        <f>0.148*(((18637-(24*K13))*M13/60*$C$7)/600)^0.403</f>
        <v>1.992193686356251</v>
      </c>
      <c r="O13" s="33">
        <f>M13*0.4</f>
        <v>43.145415573595727</v>
      </c>
      <c r="P13" s="32">
        <f>N13*0.6</f>
        <v>1.1953162118137506</v>
      </c>
      <c r="Q13" s="33">
        <f>0.1*M13</f>
        <v>10.786353893398932</v>
      </c>
      <c r="R13" s="33">
        <f>0.5*N13</f>
        <v>0.99609684317812552</v>
      </c>
      <c r="S13" s="33">
        <f>0.65*(M13/60)^1.02</f>
        <v>1.1823096645858797</v>
      </c>
      <c r="T13" s="31">
        <f>IF(I5=1,(1/(1+EXP(-(-1+0.68*(G13*0.66)-0.07*K13-0.0037*(G13*0.66)*K13+2.1*1)))),(1/(1+EXP(-(-1+0.68*(G13*0.66)-0.07*K13-0.0037*(G13*0.66)*K13+2.1*2)))))</f>
        <v>0.96901400137167515</v>
      </c>
      <c r="U13">
        <f>0</f>
        <v>0</v>
      </c>
    </row>
    <row r="14" spans="1:21" x14ac:dyDescent="0.25">
      <c r="A14" s="3" t="str">
        <f>Weather_Site!A13</f>
        <v>Mon</v>
      </c>
      <c r="B14" s="58">
        <f>Weather_Site!B13</f>
        <v>41281</v>
      </c>
      <c r="C14" s="59">
        <f>Weather_Site!C13</f>
        <v>0.25</v>
      </c>
      <c r="D14" s="3">
        <f>Weather_Site!D13</f>
        <v>17.5</v>
      </c>
      <c r="E14" s="3">
        <f>Weather_Site!E13</f>
        <v>94.5</v>
      </c>
      <c r="F14" s="3">
        <f>Weather_Site!F13</f>
        <v>166</v>
      </c>
      <c r="G14" s="3">
        <f>Weather_Site!G13</f>
        <v>3</v>
      </c>
      <c r="H14" s="3">
        <f>Weather_Site!I13</f>
        <v>10</v>
      </c>
      <c r="I14" s="3">
        <f>Weather_Site!J13</f>
        <v>10</v>
      </c>
      <c r="J14" s="32">
        <f t="shared" ref="J14:J17" si="0">((1/273.16-0.000184*LN(((0.611*EXP((17.2694*((D14+273.16)-273.16))/((D14+273.16)-35.86)))*(E14/100))/0.611))^-1)-273.16</f>
        <v>16.440947256150253</v>
      </c>
      <c r="K14" s="32">
        <f t="shared" ref="K14:K17" si="1">EXP(1.66+0.0214*E14-0.0292*J14)+(67.128*(1-EXP(-3.132*H14))*EXP(-0.0858*(I14*24)))</f>
        <v>24.587159699513847</v>
      </c>
      <c r="L14" s="27">
        <f>IF(Weather_Site!M13&lt;180,Weather_Site!M13+180,Weather_Site!M13-180)</f>
        <v>346</v>
      </c>
      <c r="M14" s="33">
        <f t="shared" ref="M14:M17" si="2">(0.678*IF((G14*0.66)&lt;0.5,0.5,(G14*0.66))^1.313*EXP(-0.0243*K14)*(1-EXP(-0.116*IF($C$4=0,20,$C$4)))*EXP(0.0693*$C$8))*60</f>
        <v>54.82932619354947</v>
      </c>
      <c r="N14" s="32">
        <f t="shared" ref="N14:N17" si="3">0.148*(((18637-(24*K14))*M14/60*$C$7)/600)^0.403</f>
        <v>1.5165212618143851</v>
      </c>
      <c r="O14" s="33">
        <f t="shared" ref="O14:O17" si="4">M14*0.4</f>
        <v>21.931730477419791</v>
      </c>
      <c r="P14" s="32">
        <f t="shared" ref="P14:P17" si="5">N14*0.6</f>
        <v>0.90991275708863095</v>
      </c>
      <c r="Q14" s="33">
        <f t="shared" ref="Q14:Q17" si="6">0.1*M14</f>
        <v>5.4829326193549477</v>
      </c>
      <c r="R14" s="33">
        <f t="shared" ref="R14:R17" si="7">0.5*N14</f>
        <v>0.75826063090719253</v>
      </c>
      <c r="S14" s="33">
        <f t="shared" ref="S14:S17" si="8">0.65*(M14/60)^1.02</f>
        <v>0.59291474148339418</v>
      </c>
      <c r="T14" s="31">
        <f t="shared" ref="T14:T17" si="9">IF(I6=1,(1/(1+EXP(-(-1+0.68*(G14*0.66)-0.07*K14-0.0037*(G14*0.66)*K14+2.1*1)))),(1/(1+EXP(-(-1+0.68*(G14*0.66)-0.07*K14-0.0037*(G14*0.66)*K14+2.1*2)))))</f>
        <v>0.93371287485931587</v>
      </c>
      <c r="U14">
        <f>0</f>
        <v>0</v>
      </c>
    </row>
    <row r="15" spans="1:21" x14ac:dyDescent="0.25">
      <c r="A15" s="3" t="str">
        <f>Weather_Site!A14</f>
        <v>Mon</v>
      </c>
      <c r="B15" s="58">
        <f>Weather_Site!B14</f>
        <v>41281</v>
      </c>
      <c r="C15" s="59">
        <f>Weather_Site!C14</f>
        <v>0.29166666666666669</v>
      </c>
      <c r="D15" s="3">
        <f>Weather_Site!D14</f>
        <v>17.7</v>
      </c>
      <c r="E15" s="3">
        <f>Weather_Site!E14</f>
        <v>92.7</v>
      </c>
      <c r="F15" s="3">
        <f>Weather_Site!F14</f>
        <v>162</v>
      </c>
      <c r="G15" s="3">
        <f>Weather_Site!G14</f>
        <v>2</v>
      </c>
      <c r="H15" s="3">
        <f>Weather_Site!I14</f>
        <v>10</v>
      </c>
      <c r="I15" s="3">
        <f>Weather_Site!J14</f>
        <v>10</v>
      </c>
      <c r="J15" s="32">
        <f t="shared" si="0"/>
        <v>16.338870787786391</v>
      </c>
      <c r="K15" s="32">
        <f t="shared" si="1"/>
        <v>23.728692650049307</v>
      </c>
      <c r="L15" s="27">
        <f>IF(Weather_Site!M14&lt;180,Weather_Site!M14+180,Weather_Site!M14-180)</f>
        <v>342</v>
      </c>
      <c r="M15" s="33">
        <f t="shared" si="2"/>
        <v>32.874926760758747</v>
      </c>
      <c r="N15" s="32">
        <f t="shared" si="3"/>
        <v>1.2345893072625937</v>
      </c>
      <c r="O15" s="33">
        <f t="shared" si="4"/>
        <v>13.149970704303499</v>
      </c>
      <c r="P15" s="32">
        <f t="shared" si="5"/>
        <v>0.74075358435755623</v>
      </c>
      <c r="Q15" s="33">
        <f t="shared" si="6"/>
        <v>3.2874926760758747</v>
      </c>
      <c r="R15" s="33">
        <f t="shared" si="7"/>
        <v>0.61729465363129687</v>
      </c>
      <c r="S15" s="33">
        <f t="shared" si="8"/>
        <v>0.35188533770053615</v>
      </c>
      <c r="T15" s="31">
        <f t="shared" si="9"/>
        <v>0.91057700283919374</v>
      </c>
      <c r="U15">
        <f>0</f>
        <v>0</v>
      </c>
    </row>
    <row r="16" spans="1:21" x14ac:dyDescent="0.25">
      <c r="A16" s="3" t="str">
        <f>Weather_Site!A15</f>
        <v>Mon</v>
      </c>
      <c r="B16" s="58">
        <f>Weather_Site!B15</f>
        <v>41281</v>
      </c>
      <c r="C16" s="59">
        <f>Weather_Site!C15</f>
        <v>0.33333333333333331</v>
      </c>
      <c r="D16" s="3">
        <f>Weather_Site!D15</f>
        <v>18.399999999999999</v>
      </c>
      <c r="E16" s="3">
        <f>Weather_Site!E15</f>
        <v>87</v>
      </c>
      <c r="F16" s="3">
        <f>Weather_Site!F15</f>
        <v>160</v>
      </c>
      <c r="G16" s="3">
        <f>Weather_Site!G15</f>
        <v>2</v>
      </c>
      <c r="H16" s="3">
        <f>Weather_Site!I15</f>
        <v>10</v>
      </c>
      <c r="I16" s="3">
        <f>Weather_Site!J15</f>
        <v>2</v>
      </c>
      <c r="J16" s="32">
        <f t="shared" si="0"/>
        <v>16.039005278284151</v>
      </c>
      <c r="K16" s="32">
        <f t="shared" si="1"/>
        <v>22.280760113735941</v>
      </c>
      <c r="L16" s="27">
        <f>IF(Weather_Site!M15&lt;180,Weather_Site!M15+180,Weather_Site!M15-180)</f>
        <v>340</v>
      </c>
      <c r="M16" s="33">
        <f t="shared" si="2"/>
        <v>34.052213006020288</v>
      </c>
      <c r="N16" s="32">
        <f t="shared" si="3"/>
        <v>1.2531898732720856</v>
      </c>
      <c r="O16" s="33">
        <f t="shared" si="4"/>
        <v>13.620885202408116</v>
      </c>
      <c r="P16" s="32">
        <f t="shared" si="5"/>
        <v>0.75191392396325141</v>
      </c>
      <c r="Q16" s="33">
        <f t="shared" si="6"/>
        <v>3.4052213006020291</v>
      </c>
      <c r="R16" s="33">
        <f t="shared" si="7"/>
        <v>0.62659493663604282</v>
      </c>
      <c r="S16" s="33">
        <f t="shared" si="8"/>
        <v>0.36474330536875721</v>
      </c>
      <c r="T16" s="31">
        <f t="shared" si="9"/>
        <v>0.91902162874126658</v>
      </c>
      <c r="U16">
        <f>0</f>
        <v>0</v>
      </c>
    </row>
    <row r="17" spans="1:21" x14ac:dyDescent="0.25">
      <c r="A17" s="3" t="str">
        <f>Weather_Site!A16</f>
        <v>Mon</v>
      </c>
      <c r="B17" s="58">
        <f>Weather_Site!B16</f>
        <v>41281</v>
      </c>
      <c r="C17" s="59">
        <f>Weather_Site!C16</f>
        <v>0.375</v>
      </c>
      <c r="D17" s="3">
        <f>Weather_Site!D16</f>
        <v>19.8</v>
      </c>
      <c r="E17" s="3">
        <f>Weather_Site!E16</f>
        <v>78.3</v>
      </c>
      <c r="F17" s="3">
        <f>Weather_Site!F16</f>
        <v>123</v>
      </c>
      <c r="G17" s="3">
        <f>Weather_Site!G16</f>
        <v>4</v>
      </c>
      <c r="H17" s="3">
        <f>Weather_Site!I16</f>
        <v>30</v>
      </c>
      <c r="I17" s="3">
        <f>Weather_Site!J16</f>
        <v>3</v>
      </c>
      <c r="J17" s="32">
        <f t="shared" si="0"/>
        <v>15.760893601133205</v>
      </c>
      <c r="K17" s="32">
        <f t="shared" si="1"/>
        <v>17.871867165012439</v>
      </c>
      <c r="L17" s="27">
        <f>IF(Weather_Site!M16&lt;180,Weather_Site!M16+180,Weather_Site!M16-180)</f>
        <v>303</v>
      </c>
      <c r="M17" s="33">
        <f t="shared" si="2"/>
        <v>94.172986227529677</v>
      </c>
      <c r="N17" s="32">
        <f t="shared" si="3"/>
        <v>1.8926691039890795</v>
      </c>
      <c r="O17" s="33">
        <f t="shared" si="4"/>
        <v>37.669194491011872</v>
      </c>
      <c r="P17" s="32">
        <f t="shared" si="5"/>
        <v>1.1356014623934476</v>
      </c>
      <c r="Q17" s="33">
        <f t="shared" si="6"/>
        <v>9.417298622752968</v>
      </c>
      <c r="R17" s="33">
        <f t="shared" si="7"/>
        <v>0.94633455199453975</v>
      </c>
      <c r="S17" s="33">
        <f t="shared" si="8"/>
        <v>1.0294469001750297</v>
      </c>
      <c r="T17" s="31">
        <f t="shared" si="9"/>
        <v>0.97260445048233468</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Mon</v>
      </c>
      <c r="B9" s="24">
        <f>Weather_Site!B13</f>
        <v>41281</v>
      </c>
      <c r="C9" s="25">
        <f>Weather_Site!C13</f>
        <v>0.25</v>
      </c>
      <c r="D9" s="27">
        <f>Weather_Site!D13</f>
        <v>17.5</v>
      </c>
      <c r="E9" s="27">
        <f>Weather_Site!E13</f>
        <v>94.5</v>
      </c>
      <c r="F9" s="28">
        <f>Weather_Site!F13</f>
        <v>166</v>
      </c>
      <c r="G9" s="27">
        <f>Weather_Site!G13</f>
        <v>3</v>
      </c>
      <c r="H9" s="27">
        <f>IF(Weather_Site!M13&lt;180,Weather_Site!M13+180,Weather_Site!M13-180)</f>
        <v>346</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f>W13+M14+N14</f>
        <v>10.611993735635409</v>
      </c>
      <c r="P13" s="180">
        <v>30</v>
      </c>
      <c r="Q13" s="186" t="s">
        <v>375</v>
      </c>
      <c r="R13" s="186" t="s">
        <v>375</v>
      </c>
      <c r="S13" s="260">
        <f>P13+Q14+R14</f>
        <v>30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Mon</v>
      </c>
      <c r="B14" s="273">
        <f>Weather_Site!B12</f>
        <v>41281</v>
      </c>
      <c r="C14" s="274">
        <f>Weather_Site!C12</f>
        <v>0.20833333333333334</v>
      </c>
      <c r="D14" s="272">
        <f>Weather_Site!D12</f>
        <v>17.5</v>
      </c>
      <c r="E14" s="272">
        <f>Weather_Site!E12</f>
        <v>93.9</v>
      </c>
      <c r="F14" s="272">
        <f>Weather_Site!F12</f>
        <v>168</v>
      </c>
      <c r="G14" s="272">
        <f>Weather_Site!G12</f>
        <v>5</v>
      </c>
      <c r="H14" s="272">
        <f>Weather_Site!I12</f>
        <v>10</v>
      </c>
      <c r="I14" s="272">
        <f>Weather_Site!J12</f>
        <v>10</v>
      </c>
      <c r="J14" s="272">
        <f>Weather_Site!K12</f>
        <v>110</v>
      </c>
      <c r="K14" s="33">
        <f>Weather_Site!N12</f>
        <v>0</v>
      </c>
      <c r="L14" s="33">
        <f>W14</f>
        <v>9</v>
      </c>
      <c r="M14" s="32">
        <f>IF(I14&lt;=1,(121.42-94.27/(1+107.55*EXP(-0.037*W13)))/(1+(101.71/(1+17.13*EXP(-0.017*W13)))*H14^(-0.84-0.62/(1+1087.88*EXP(-0.053*W13)))),0)</f>
        <v>0</v>
      </c>
      <c r="N14" s="32">
        <f>IF(I14&gt;1,(0.29/(1+1.34*EXP(-0.019*W13))*K14+(51.61-367.12*(0.29/(1+1.34*EXP(-0.019*W13))))),0)</f>
        <v>1.6119937356354086</v>
      </c>
      <c r="O14" s="32">
        <f>IF(OR(AND(C14&gt;0.33,C13&gt;=0.33),AND(C14&lt;C13,C14&lt;=0.33),C14&lt;0.33),O13,W13+M14+N14)</f>
        <v>10.611993735635409</v>
      </c>
      <c r="P14" s="33">
        <f>IF(OR(S14&gt;AD13,C14&gt;=0.625),AD13,S13)</f>
        <v>30</v>
      </c>
      <c r="Q14" s="32">
        <f>IF(I14&lt;=1,(121.42-94.27/(1+107.55*EXP(-0.037*W13)))/(1+(101.71/(1+17.13*EXP(-0.017*W13)))*H14^(-0.84-0.62/(1+1087.88*EXP(-0.053*W13)))),0)</f>
        <v>0</v>
      </c>
      <c r="R14" s="240">
        <v>0</v>
      </c>
      <c r="S14" s="32">
        <f>P13+Q14+R14</f>
        <v>30</v>
      </c>
      <c r="T14" s="32">
        <f>(57.29/(1+1.93*EXP(-0.042*D14)))/(1+(42.77/(D14-5.8))*EXP((-0.016*D14/(D14-5.27))*(100-E14)))</f>
        <v>7.1197872101987931</v>
      </c>
      <c r="U14" s="250">
        <f>((O13-103.79)/((O13-103.79)^2-12643.93)*12.81-0.65)*T14+((O13-99.7)/((O13-99.7)^2-25199.32)*3570.12-23.26)+10</f>
        <v>2.6816475984334076</v>
      </c>
      <c r="V14" s="32">
        <f>O13+U14</f>
        <v>13.293641334068816</v>
      </c>
      <c r="W14" s="33">
        <f>IF(OR(V14&lt;W13,C14&gt;=0.625),V14,W13)</f>
        <v>9</v>
      </c>
      <c r="X14" s="32" t="str">
        <f>IF(AND(C14&gt;0.33,C14&lt;0.625),(W14-(W14-O14)*(14.29*C14*24-114.29)/100),IF(AND(C14&gt;=0.625,C14&lt;0.71),(W14-(W14-O14)*(14.29*(30-C14*24)-114.29)/100)," "))</f>
        <v xml:space="preserve"> </v>
      </c>
      <c r="Y14" s="42">
        <f>IF(V14&lt;=27,(21.37-3.42*V14+0.085*V14^2)+(48.09*V14*EXP(-0.6*V14)+11.9)*EXP(G14/$C$9*(-0.0096*V14^1.05+0.44)),0)</f>
        <v>10.735038172585611</v>
      </c>
      <c r="Z14" s="31">
        <f>IF($D$7&lt;8,(1.02/(1+7266.83*EXP(-1.36*$D$7))+0.1),IF(V14&lt;=9,((6.03+5.81*$D$7)/53.44),IF(AND(V14&gt;9,V14&lt;=18),((11.19+2.92*$D$7)/35.02),((0.055+0.0023*$D$7)/0.074))))</f>
        <v>2.1539120502569955</v>
      </c>
      <c r="AA14" s="42">
        <f>Z14*Y14</f>
        <v>23.122328079900985</v>
      </c>
      <c r="AB14" s="42">
        <f>AA14*EXP(0.069*$C$8)</f>
        <v>23.122328079900985</v>
      </c>
      <c r="AC14" s="250">
        <f>((S13-112.15)/((S13-112.15)^2-21835.42)*40.96-0.46)*T14+((S13-140.78)/((S13-140.78)^2-24819.47)*298.78)</f>
        <v>0.95078427508821473</v>
      </c>
      <c r="AD14" s="32">
        <f>AC14+S13</f>
        <v>30.950784275088214</v>
      </c>
      <c r="AE14" s="282">
        <f>IF(V14&lt;=27,(4.88-263.78*V14^-1.8)+(163.4*V14^-1.18)*EXP(G14/$C$9*(-0.0059*V14+0.54)),0)</f>
        <v>19.026934414108329</v>
      </c>
      <c r="AF14" s="261">
        <f>IF(AH14&lt;17,(0.95/(1+957.74*EXP(-0.52*AH14))+0.16),IF(V14&lt;=10,((5.08+6.26*AH14)/111.5),IF(AND(V14&gt;10,V14&lt;=19),((17.35+1.7*AH14)/46.25),((10.88+0.46*AH14)/18.7))))</f>
        <v>0.82064079469947659</v>
      </c>
      <c r="AG14" s="31">
        <f>MAX((1-(1/(1+(0.43*EXP(0.23*V14)+2)*EXP((-0.0085*V14+0.024)*AD14))+(0.013*V14-0.43))),0)</f>
        <v>0.67221309145217201</v>
      </c>
      <c r="AH14" s="32">
        <f>AG14*$D$7</f>
        <v>14.788688011947784</v>
      </c>
      <c r="AI14" s="42">
        <f>AE14*AF14</f>
        <v>15.61427857828868</v>
      </c>
      <c r="AJ14" s="42">
        <f>AI14*EXP(0.069*$C$8)</f>
        <v>15.61427857828868</v>
      </c>
    </row>
    <row r="15" spans="1:36" x14ac:dyDescent="0.25">
      <c r="A15" s="272" t="str">
        <f>Weather_Site!A13</f>
        <v>Mon</v>
      </c>
      <c r="B15" s="273">
        <f>Weather_Site!B13</f>
        <v>41281</v>
      </c>
      <c r="C15" s="274">
        <f>Weather_Site!C13</f>
        <v>0.25</v>
      </c>
      <c r="D15" s="272">
        <f>Weather_Site!D13</f>
        <v>17.5</v>
      </c>
      <c r="E15" s="272">
        <f>Weather_Site!E13</f>
        <v>94.5</v>
      </c>
      <c r="F15" s="272">
        <f>Weather_Site!F13</f>
        <v>166</v>
      </c>
      <c r="G15" s="272">
        <f>Weather_Site!G13</f>
        <v>3</v>
      </c>
      <c r="H15" s="272">
        <f>Weather_Site!I13</f>
        <v>10</v>
      </c>
      <c r="I15" s="272">
        <f>Weather_Site!J13</f>
        <v>10</v>
      </c>
      <c r="J15" s="272">
        <f>Weather_Site!K13</f>
        <v>110</v>
      </c>
      <c r="K15" s="33">
        <f>Weather_Site!N13</f>
        <v>0</v>
      </c>
      <c r="L15" s="33">
        <f t="shared" ref="L15:L17" si="0">W15</f>
        <v>9</v>
      </c>
      <c r="M15" s="32">
        <f t="shared" ref="M15:M17" si="1">IF(I15&lt;=1,(121.42-94.27/(1+107.55*EXP(-0.037*W14)))/(1+(101.71/(1+17.13*EXP(-0.017*W14)))*H15^(-0.84-0.62/(1+1087.88*EXP(-0.053*W14)))),0)</f>
        <v>0</v>
      </c>
      <c r="N15" s="32">
        <f t="shared" ref="N15:N17" si="2">IF(I15&gt;1,(0.29/(1+1.34*EXP(-0.019*W14))*K15+(51.61-367.12*(0.29/(1+1.34*EXP(-0.019*W14))))),0)</f>
        <v>1.6119937356354086</v>
      </c>
      <c r="O15" s="32">
        <f t="shared" ref="O15:O17" si="3">IF(OR(AND(C15&gt;0.33,C14&gt;=0.33),AND(C15&lt;C14,C15&lt;=0.33),C15&lt;0.33),O14,W14+M15+N15)</f>
        <v>10.611993735635409</v>
      </c>
      <c r="P15" s="33">
        <f t="shared" ref="P15:P17" si="4">IF(OR(S15&gt;AD14,C15&gt;=0.625),AD14,S14)</f>
        <v>30.950784275088214</v>
      </c>
      <c r="Q15" s="32">
        <f t="shared" ref="Q15:Q17" si="5">IF(I15&lt;=1,(121.42-94.27/(1+107.55*EXP(-0.037*W14)))/(1+(101.71/(1+17.13*EXP(-0.017*W14)))*H15^(-0.84-0.62/(1+1087.88*EXP(-0.053*W14)))),0)</f>
        <v>0</v>
      </c>
      <c r="R15" s="240">
        <v>1</v>
      </c>
      <c r="S15" s="32">
        <f t="shared" ref="S15:S17" si="6">P14+Q15+R15</f>
        <v>31</v>
      </c>
      <c r="T15" s="32">
        <f t="shared" ref="T15:T17" si="7">(57.29/(1+1.93*EXP(-0.042*D15)))/(1+(42.77/(D15-5.8))*EXP((-0.016*D15/(D15-5.27))*(100-E15)))</f>
        <v>7.0456542754385003</v>
      </c>
      <c r="U15" s="250">
        <f t="shared" ref="U15:U17" si="8">((O14-103.79)/((O14-103.79)^2-12643.93)*12.81-0.65)*T15+((O14-99.7)/((O14-99.7)^2-25199.32)*3570.12-23.26)+10</f>
        <v>2.7074991900560352</v>
      </c>
      <c r="V15" s="32">
        <f t="shared" ref="V15:V17" si="9">O14+U15</f>
        <v>13.319492925691444</v>
      </c>
      <c r="W15" s="33">
        <f t="shared" ref="W15:W17" si="10">IF(OR(V15&lt;W14,C15&gt;=0.625),V15,W14)</f>
        <v>9</v>
      </c>
      <c r="X15" s="32" t="str">
        <f t="shared" ref="X15:X17" si="11">IF(AND(C15&gt;0.33,C15&lt;0.625),(W15-(W15-O15)*(14.29*C15*24-114.29)/100),IF(AND(C15&gt;=0.625,C15&lt;0.71),(W15-(W15-O15)*(14.29*(30-C15*24)-114.29)/100)," "))</f>
        <v xml:space="preserve"> </v>
      </c>
      <c r="Y15" s="42">
        <f t="shared" ref="Y15:Y17" si="12">IF(V15&lt;=27,(21.37-3.42*V15+0.085*V15^2)+(48.09*V15*EXP(-0.6*V15)+11.9)*EXP(G15/$C$9*(-0.0096*V15^1.05+0.44)),0)</f>
        <v>7.1625142261206562</v>
      </c>
      <c r="Z15" s="31">
        <f t="shared" ref="Z15:Z17" si="13">IF($D$7&lt;8,(1.02/(1+7266.83*EXP(-1.36*$D$7))+0.1),IF(V15&lt;=9,((6.03+5.81*$D$7)/53.44),IF(AND(V15&gt;9,V15&lt;=18),((11.19+2.92*$D$7)/35.02),((0.055+0.0023*$D$7)/0.074))))</f>
        <v>2.1539120502569955</v>
      </c>
      <c r="AA15" s="42">
        <f t="shared" ref="AA15:AA17" si="14">Z15*Y15</f>
        <v>15.427425701778439</v>
      </c>
      <c r="AB15" s="42">
        <f t="shared" ref="AB15:AB17" si="15">AA15*EXP(0.069*$C$8)</f>
        <v>15.427425701778439</v>
      </c>
      <c r="AC15" s="250">
        <f t="shared" ref="AC15:AC17" si="16">((S14-112.15)/((S14-112.15)^2-21835.42)*40.96-0.46)*T15+((S14-140.78)/((S14-140.78)^2-24819.47)*298.78)</f>
        <v>0.96835128366130641</v>
      </c>
      <c r="AD15" s="32">
        <f t="shared" ref="AD15:AD17" si="17">AC15+S14</f>
        <v>30.968351283661306</v>
      </c>
      <c r="AE15" s="282">
        <f t="shared" ref="AE15:AE17" si="18">IF(V15&lt;=27,(4.88-263.78*V15^-1.8)+(163.4*V15^-1.18)*EXP(G15/$C$9*(-0.0059*V15+0.54)),0)</f>
        <v>14.595331653869179</v>
      </c>
      <c r="AF15" s="261">
        <f t="shared" ref="AF15:AF17" si="19">IF(AH15&lt;17,(0.95/(1+957.74*EXP(-0.52*AH15))+0.16),IF(V15&lt;=10,((5.08+6.26*AH15)/111.5),IF(AND(V15&gt;10,V15&lt;=19),((17.35+1.7*AH15)/46.25),((10.88+0.46*AH15)/18.7))))</f>
        <v>0.81791200470475844</v>
      </c>
      <c r="AG15" s="31">
        <f t="shared" ref="AG15:AG17" si="20">MAX((1-(1/(1+(0.43*EXP(0.23*V15)+2)*EXP((-0.0085*V15+0.024)*AD15))+(0.013*V15-0.43))),0)</f>
        <v>0.67103080617986988</v>
      </c>
      <c r="AH15" s="32">
        <f t="shared" ref="AH15:AH17" si="21">AG15*$D$7</f>
        <v>14.762677735957137</v>
      </c>
      <c r="AI15" s="42">
        <f t="shared" ref="AI15:AI17" si="22">AE15*AF15</f>
        <v>11.937696972346957</v>
      </c>
      <c r="AJ15" s="42">
        <f t="shared" ref="AJ15:AJ17" si="23">AI15*EXP(0.069*$C$8)</f>
        <v>11.937696972346957</v>
      </c>
    </row>
    <row r="16" spans="1:36" x14ac:dyDescent="0.25">
      <c r="A16" s="272" t="str">
        <f>Weather_Site!A14</f>
        <v>Mon</v>
      </c>
      <c r="B16" s="273">
        <f>Weather_Site!B14</f>
        <v>41281</v>
      </c>
      <c r="C16" s="274">
        <f>Weather_Site!C14</f>
        <v>0.29166666666666669</v>
      </c>
      <c r="D16" s="272">
        <f>Weather_Site!D14</f>
        <v>17.7</v>
      </c>
      <c r="E16" s="272">
        <f>Weather_Site!E14</f>
        <v>92.7</v>
      </c>
      <c r="F16" s="272">
        <f>Weather_Site!F14</f>
        <v>162</v>
      </c>
      <c r="G16" s="272">
        <f>Weather_Site!G14</f>
        <v>2</v>
      </c>
      <c r="H16" s="272">
        <f>Weather_Site!I14</f>
        <v>10</v>
      </c>
      <c r="I16" s="272">
        <f>Weather_Site!J14</f>
        <v>10</v>
      </c>
      <c r="J16" s="272">
        <f>Weather_Site!K14</f>
        <v>110</v>
      </c>
      <c r="K16" s="33">
        <f>Weather_Site!N14</f>
        <v>0</v>
      </c>
      <c r="L16" s="33">
        <f t="shared" si="0"/>
        <v>9</v>
      </c>
      <c r="M16" s="32">
        <f t="shared" si="1"/>
        <v>0</v>
      </c>
      <c r="N16" s="32">
        <f t="shared" si="2"/>
        <v>1.6119937356354086</v>
      </c>
      <c r="O16" s="32">
        <f t="shared" si="3"/>
        <v>10.611993735635409</v>
      </c>
      <c r="P16" s="33">
        <f t="shared" si="4"/>
        <v>30.968351283661306</v>
      </c>
      <c r="Q16" s="32">
        <f t="shared" si="5"/>
        <v>0</v>
      </c>
      <c r="R16" s="240">
        <v>2</v>
      </c>
      <c r="S16" s="32">
        <f t="shared" si="6"/>
        <v>32.950784275088211</v>
      </c>
      <c r="T16" s="32">
        <f t="shared" si="7"/>
        <v>7.3883842750444835</v>
      </c>
      <c r="U16" s="250">
        <f t="shared" si="8"/>
        <v>2.5879825944256822</v>
      </c>
      <c r="V16" s="32">
        <f t="shared" si="9"/>
        <v>13.199976330061091</v>
      </c>
      <c r="W16" s="33">
        <f t="shared" si="10"/>
        <v>9</v>
      </c>
      <c r="X16" s="32" t="str">
        <f t="shared" si="11"/>
        <v xml:space="preserve"> </v>
      </c>
      <c r="Y16" s="42">
        <f t="shared" si="12"/>
        <v>5.8117550655899706</v>
      </c>
      <c r="Z16" s="31">
        <f t="shared" si="13"/>
        <v>2.1539120502569955</v>
      </c>
      <c r="AA16" s="42">
        <f t="shared" si="14"/>
        <v>12.518009268916373</v>
      </c>
      <c r="AB16" s="42">
        <f t="shared" si="15"/>
        <v>12.518009268916373</v>
      </c>
      <c r="AC16" s="250">
        <f t="shared" si="16"/>
        <v>0.7806755146207216</v>
      </c>
      <c r="AD16" s="32">
        <f t="shared" si="17"/>
        <v>31.780675514620722</v>
      </c>
      <c r="AE16" s="282">
        <f t="shared" si="18"/>
        <v>12.9306515252228</v>
      </c>
      <c r="AF16" s="261">
        <f t="shared" si="19"/>
        <v>0.78559402840105719</v>
      </c>
      <c r="AG16" s="31">
        <f t="shared" si="20"/>
        <v>0.65745474265492188</v>
      </c>
      <c r="AH16" s="32">
        <f t="shared" si="21"/>
        <v>14.464004338408282</v>
      </c>
      <c r="AI16" s="42">
        <f t="shared" si="22"/>
        <v>10.158242621550054</v>
      </c>
      <c r="AJ16" s="42">
        <f t="shared" si="23"/>
        <v>10.158242621550054</v>
      </c>
    </row>
    <row r="17" spans="1:36" x14ac:dyDescent="0.25">
      <c r="A17" s="272" t="str">
        <f>Weather_Site!A15</f>
        <v>Mon</v>
      </c>
      <c r="B17" s="273">
        <f>Weather_Site!B15</f>
        <v>41281</v>
      </c>
      <c r="C17" s="274">
        <f>Weather_Site!C15</f>
        <v>0.33333333333333331</v>
      </c>
      <c r="D17" s="272">
        <f>Weather_Site!D15</f>
        <v>18.399999999999999</v>
      </c>
      <c r="E17" s="272">
        <f>Weather_Site!E15</f>
        <v>87</v>
      </c>
      <c r="F17" s="272">
        <f>Weather_Site!F15</f>
        <v>160</v>
      </c>
      <c r="G17" s="272">
        <f>Weather_Site!G15</f>
        <v>2</v>
      </c>
      <c r="H17" s="272">
        <f>Weather_Site!I15</f>
        <v>10</v>
      </c>
      <c r="I17" s="272">
        <f>Weather_Site!J15</f>
        <v>2</v>
      </c>
      <c r="J17" s="272">
        <f>Weather_Site!K15</f>
        <v>70</v>
      </c>
      <c r="K17" s="33">
        <f>Weather_Site!N15</f>
        <v>67.649999999999991</v>
      </c>
      <c r="L17" s="33">
        <f t="shared" si="0"/>
        <v>9</v>
      </c>
      <c r="M17" s="32">
        <f t="shared" si="1"/>
        <v>0</v>
      </c>
      <c r="N17" s="32">
        <f t="shared" si="2"/>
        <v>10.825234974969316</v>
      </c>
      <c r="O17" s="32">
        <f t="shared" si="3"/>
        <v>19.825234974969316</v>
      </c>
      <c r="P17" s="33">
        <f t="shared" si="4"/>
        <v>31.780675514620722</v>
      </c>
      <c r="Q17" s="32">
        <f t="shared" si="5"/>
        <v>0</v>
      </c>
      <c r="R17" s="240">
        <v>3</v>
      </c>
      <c r="S17" s="32">
        <f t="shared" si="6"/>
        <v>33.968351283661306</v>
      </c>
      <c r="T17" s="32">
        <f t="shared" si="7"/>
        <v>8.5669733185986381</v>
      </c>
      <c r="U17" s="250">
        <f t="shared" si="8"/>
        <v>2.1769857447341874</v>
      </c>
      <c r="V17" s="32">
        <f t="shared" si="9"/>
        <v>12.788979480369596</v>
      </c>
      <c r="W17" s="33">
        <f t="shared" si="10"/>
        <v>9</v>
      </c>
      <c r="X17" s="32">
        <f t="shared" si="11"/>
        <v>9.0032475704924888</v>
      </c>
      <c r="Y17" s="42">
        <f t="shared" si="12"/>
        <v>6.4235072694270787</v>
      </c>
      <c r="Z17" s="31">
        <f t="shared" si="13"/>
        <v>2.1539120502569955</v>
      </c>
      <c r="AA17" s="42">
        <f t="shared" si="14"/>
        <v>13.835669712532393</v>
      </c>
      <c r="AB17" s="42">
        <f t="shared" si="15"/>
        <v>13.835669712532393</v>
      </c>
      <c r="AC17" s="250">
        <f t="shared" si="16"/>
        <v>0.28704662396783442</v>
      </c>
      <c r="AD17" s="32">
        <f t="shared" si="17"/>
        <v>33.237830899056043</v>
      </c>
      <c r="AE17" s="282">
        <f t="shared" si="18"/>
        <v>13.202456437884102</v>
      </c>
      <c r="AF17" s="261">
        <f t="shared" si="19"/>
        <v>0.74596562758901996</v>
      </c>
      <c r="AG17" s="31">
        <f t="shared" si="20"/>
        <v>0.64165989347678165</v>
      </c>
      <c r="AH17" s="32">
        <f t="shared" si="21"/>
        <v>14.116517656489197</v>
      </c>
      <c r="AI17" s="42">
        <f t="shared" si="22"/>
        <v>9.8485787024029108</v>
      </c>
      <c r="AJ17" s="42">
        <f t="shared" si="23"/>
        <v>9.8485787024029108</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Mon</v>
      </c>
      <c r="B9" s="74">
        <f>Weather_Site!B12</f>
        <v>41281</v>
      </c>
      <c r="C9" s="75">
        <f>Weather_Site!C12</f>
        <v>0.20833333333333334</v>
      </c>
      <c r="D9" s="29">
        <f>Weather_Site!D12</f>
        <v>17.5</v>
      </c>
      <c r="E9" s="29">
        <f>Weather_Site!E12</f>
        <v>93.9</v>
      </c>
      <c r="F9" s="29">
        <f>Weather_Site!F12</f>
        <v>168</v>
      </c>
      <c r="G9" s="29">
        <f>Weather_Site!G12</f>
        <v>5</v>
      </c>
      <c r="H9" s="27">
        <f>IF(Weather_Site!M12&lt;180,Weather_Site!M12+180,Weather_Site!M12-180)</f>
        <v>348</v>
      </c>
      <c r="I9" s="42">
        <f>274*(G9/1.7)^1.05*EXP(-0.11*$C$4)</f>
        <v>439.60572727760598</v>
      </c>
      <c r="J9" s="42">
        <f>I9*EXP(0.069*$C$5)</f>
        <v>439.60572727760598</v>
      </c>
    </row>
    <row r="10" spans="1:10" x14ac:dyDescent="0.25">
      <c r="A10" s="29" t="str">
        <f>Weather_Site!A13</f>
        <v>Mon</v>
      </c>
      <c r="B10" s="74">
        <f>Weather_Site!B13</f>
        <v>41281</v>
      </c>
      <c r="C10" s="75">
        <f>Weather_Site!C13</f>
        <v>0.25</v>
      </c>
      <c r="D10" s="29">
        <f>Weather_Site!D13</f>
        <v>17.5</v>
      </c>
      <c r="E10" s="29">
        <f>Weather_Site!E13</f>
        <v>94.5</v>
      </c>
      <c r="F10" s="29">
        <f>Weather_Site!F13</f>
        <v>166</v>
      </c>
      <c r="G10" s="29">
        <f>Weather_Site!G13</f>
        <v>3</v>
      </c>
      <c r="H10" s="27">
        <f>IF(Weather_Site!M13&lt;180,Weather_Site!M13+180,Weather_Site!M13-180)</f>
        <v>346</v>
      </c>
      <c r="I10" s="42">
        <f t="shared" ref="I10:I13" si="0">274*(G10/1.7)^1.05*EXP(-0.11*$C$4)</f>
        <v>257.11188641975514</v>
      </c>
      <c r="J10" s="42">
        <f t="shared" ref="J10:J13" si="1">I10*EXP(0.069*$C$5)</f>
        <v>257.11188641975514</v>
      </c>
    </row>
    <row r="11" spans="1:10" x14ac:dyDescent="0.25">
      <c r="A11" s="29" t="str">
        <f>Weather_Site!A14</f>
        <v>Mon</v>
      </c>
      <c r="B11" s="74">
        <f>Weather_Site!B14</f>
        <v>41281</v>
      </c>
      <c r="C11" s="75">
        <f>Weather_Site!C14</f>
        <v>0.29166666666666669</v>
      </c>
      <c r="D11" s="29">
        <f>Weather_Site!D14</f>
        <v>17.7</v>
      </c>
      <c r="E11" s="29">
        <f>Weather_Site!E14</f>
        <v>92.7</v>
      </c>
      <c r="F11" s="29">
        <f>Weather_Site!F14</f>
        <v>162</v>
      </c>
      <c r="G11" s="29">
        <f>Weather_Site!G14</f>
        <v>2</v>
      </c>
      <c r="H11" s="27">
        <f>IF(Weather_Site!M14&lt;180,Weather_Site!M14+180,Weather_Site!M14-180)</f>
        <v>342</v>
      </c>
      <c r="I11" s="42">
        <f t="shared" si="0"/>
        <v>167.9679155609698</v>
      </c>
      <c r="J11" s="42">
        <f t="shared" si="1"/>
        <v>167.9679155609698</v>
      </c>
    </row>
    <row r="12" spans="1:10" x14ac:dyDescent="0.25">
      <c r="A12" s="29" t="str">
        <f>Weather_Site!A15</f>
        <v>Mon</v>
      </c>
      <c r="B12" s="74">
        <f>Weather_Site!B15</f>
        <v>41281</v>
      </c>
      <c r="C12" s="75">
        <f>Weather_Site!C15</f>
        <v>0.33333333333333331</v>
      </c>
      <c r="D12" s="29">
        <f>Weather_Site!D15</f>
        <v>18.399999999999999</v>
      </c>
      <c r="E12" s="29">
        <f>Weather_Site!E15</f>
        <v>87</v>
      </c>
      <c r="F12" s="29">
        <f>Weather_Site!F15</f>
        <v>160</v>
      </c>
      <c r="G12" s="29">
        <f>Weather_Site!G15</f>
        <v>2</v>
      </c>
      <c r="H12" s="27">
        <f>IF(Weather_Site!M15&lt;180,Weather_Site!M15+180,Weather_Site!M15-180)</f>
        <v>340</v>
      </c>
      <c r="I12" s="42">
        <f t="shared" si="0"/>
        <v>167.9679155609698</v>
      </c>
      <c r="J12" s="42">
        <f t="shared" si="1"/>
        <v>167.9679155609698</v>
      </c>
    </row>
    <row r="13" spans="1:10" x14ac:dyDescent="0.25">
      <c r="A13" s="29" t="str">
        <f>Weather_Site!A16</f>
        <v>Mon</v>
      </c>
      <c r="B13" s="74">
        <f>Weather_Site!B16</f>
        <v>41281</v>
      </c>
      <c r="C13" s="75">
        <f>Weather_Site!C16</f>
        <v>0.375</v>
      </c>
      <c r="D13" s="29">
        <f>Weather_Site!D16</f>
        <v>19.8</v>
      </c>
      <c r="E13" s="29">
        <f>Weather_Site!E16</f>
        <v>78.3</v>
      </c>
      <c r="F13" s="29">
        <f>Weather_Site!F16</f>
        <v>123</v>
      </c>
      <c r="G13" s="29">
        <f>Weather_Site!G16</f>
        <v>4</v>
      </c>
      <c r="H13" s="27">
        <f>IF(Weather_Site!M16&lt;180,Weather_Site!M16+180,Weather_Site!M16-180)</f>
        <v>303</v>
      </c>
      <c r="I13" s="42">
        <f t="shared" si="0"/>
        <v>347.78258262204469</v>
      </c>
      <c r="J13" s="42">
        <f t="shared" si="1"/>
        <v>347.78258262204469</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1121</v>
      </c>
      <c r="O4" s="645" t="s">
        <v>1122</v>
      </c>
      <c r="P4" s="256" t="s">
        <v>348</v>
      </c>
      <c r="Q4" s="216" t="s">
        <v>172</v>
      </c>
      <c r="R4" s="216" t="s">
        <v>173</v>
      </c>
      <c r="S4" s="216" t="s">
        <v>174</v>
      </c>
      <c r="T4" s="646" t="s">
        <v>1040</v>
      </c>
      <c r="U4" s="217" t="s">
        <v>175</v>
      </c>
      <c r="V4" s="218" t="s">
        <v>269</v>
      </c>
      <c r="W4" s="215" t="s">
        <v>169</v>
      </c>
      <c r="X4" s="215" t="s">
        <v>170</v>
      </c>
      <c r="Y4" s="645" t="s">
        <v>1039</v>
      </c>
      <c r="Z4" s="645" t="s">
        <v>1038</v>
      </c>
      <c r="AA4" s="645" t="s">
        <v>1121</v>
      </c>
      <c r="AB4" s="645" t="s">
        <v>1122</v>
      </c>
      <c r="AC4" s="216" t="s">
        <v>172</v>
      </c>
      <c r="AD4" s="216" t="s">
        <v>173</v>
      </c>
      <c r="AE4" s="216" t="s">
        <v>174</v>
      </c>
      <c r="AF4" s="327" t="s">
        <v>169</v>
      </c>
      <c r="AG4" s="327" t="s">
        <v>170</v>
      </c>
      <c r="AH4" s="171" t="s">
        <v>1039</v>
      </c>
      <c r="AI4" s="171" t="s">
        <v>1038</v>
      </c>
      <c r="AJ4" s="645" t="s">
        <v>1121</v>
      </c>
      <c r="AK4" s="645" t="s">
        <v>1122</v>
      </c>
      <c r="AL4" s="91" t="s">
        <v>172</v>
      </c>
      <c r="AM4" s="91" t="s">
        <v>173</v>
      </c>
      <c r="AN4" s="91" t="s">
        <v>174</v>
      </c>
      <c r="AO4" s="327" t="s">
        <v>169</v>
      </c>
      <c r="AP4" s="171" t="s">
        <v>1039</v>
      </c>
      <c r="AQ4" s="171" t="s">
        <v>1038</v>
      </c>
    </row>
    <row r="5" spans="1:43" x14ac:dyDescent="0.25">
      <c r="A5" s="29" t="str">
        <f>Weather_Site!A12</f>
        <v>Mon</v>
      </c>
      <c r="B5" s="74">
        <f>Weather_Site!B12</f>
        <v>41281</v>
      </c>
      <c r="C5" s="75">
        <f>Weather_Site!C12</f>
        <v>0.20833333333333334</v>
      </c>
      <c r="D5" s="29">
        <f>Weather_Site!D12</f>
        <v>17.5</v>
      </c>
      <c r="E5" s="29">
        <f>Weather_Site!E12</f>
        <v>93.9</v>
      </c>
      <c r="F5" s="29">
        <f>Weather_Site!F12</f>
        <v>168</v>
      </c>
      <c r="G5" s="29">
        <f>Weather_Site!G12</f>
        <v>5</v>
      </c>
      <c r="H5" s="33">
        <f>'Forest(McArthur)'!N9</f>
        <v>0.9848643799150969</v>
      </c>
      <c r="I5" s="33">
        <f>Grass!I9</f>
        <v>0.44948472407281181</v>
      </c>
      <c r="J5" s="349">
        <f>'Forest(McArthur)'!O9</f>
        <v>28.364094141554787</v>
      </c>
      <c r="K5" s="349">
        <f>'Forest(McArthur)'!AB9</f>
        <v>7.8091104611144964</v>
      </c>
      <c r="L5" s="349">
        <f>'Forest(VESTA)'!P14</f>
        <v>5.8760656528016755</v>
      </c>
      <c r="M5" s="349">
        <f>'DryForest(VESTA)'!P14</f>
        <v>5.8800276624304946</v>
      </c>
      <c r="N5" s="349">
        <f>'VESTA Mk2 Dry'!Y14</f>
        <v>4.8986370210089936</v>
      </c>
      <c r="O5" s="349">
        <f>'VESTA Mk2 Wet'!Z14</f>
        <v>0.61062235164155754</v>
      </c>
      <c r="P5" s="349">
        <f>RedBook!AA14</f>
        <v>23.122328079900985</v>
      </c>
      <c r="Q5" s="350">
        <f>Grass!W9</f>
        <v>48.154166027751444</v>
      </c>
      <c r="R5" s="350">
        <f>Grass!AB9</f>
        <v>37.835416164661851</v>
      </c>
      <c r="S5" s="350">
        <f>Grass!AG9</f>
        <v>18.917708082330925</v>
      </c>
      <c r="T5" s="350">
        <f>Heath!L9</f>
        <v>219.55597132870332</v>
      </c>
      <c r="U5" s="351">
        <f>Buttongrass!M13</f>
        <v>107.8635389339893</v>
      </c>
      <c r="V5" s="352">
        <f>'WA Mallee'!J9</f>
        <v>439.60572727760598</v>
      </c>
      <c r="W5" s="344">
        <f>'Forest(McArthur)'!S9</f>
        <v>351.73745863059264</v>
      </c>
      <c r="X5" s="344">
        <f>'Forest(McArthur)'!AF9</f>
        <v>93.709325533373956</v>
      </c>
      <c r="Y5" s="344">
        <f>'Forest(VESTA)'!T14</f>
        <v>69.827246840793251</v>
      </c>
      <c r="Z5" s="344">
        <f>'DryForest(VESTA)'!T14</f>
        <v>69.874328721882378</v>
      </c>
      <c r="AA5" s="344">
        <f>'VESTA Mk2 Dry'!AB14</f>
        <v>58.212136599656866</v>
      </c>
      <c r="AB5" s="344">
        <f>'VESTA Mk2 Wet'!AC14</f>
        <v>10.095622880473751</v>
      </c>
      <c r="AC5" s="345">
        <f>Grass!Z9</f>
        <v>149.28754551923504</v>
      </c>
      <c r="AD5" s="345">
        <f>Grass!AE9</f>
        <v>78.198238129123112</v>
      </c>
      <c r="AE5" s="345">
        <f>Grass!AJ9</f>
        <v>14.662169649210584</v>
      </c>
      <c r="AF5" s="346">
        <f>'Forest(McArthur)'!Q9</f>
        <v>4.1287332238402117</v>
      </c>
      <c r="AG5" s="346">
        <f>'Forest(McArthur)'!AD9</f>
        <v>0.41344082523832171</v>
      </c>
      <c r="AH5" s="346">
        <f>'Forest(VESTA)'!R14</f>
        <v>0.11586859053417466</v>
      </c>
      <c r="AI5" s="346">
        <f>'DryForest(VESTA)'!R14</f>
        <v>0.12403982514783124</v>
      </c>
      <c r="AJ5" s="346">
        <f>'VESTA Mk2 Dry'!Z14</f>
        <v>0.12354181240685891</v>
      </c>
      <c r="AK5" s="346">
        <f>'VESTA Mk2 Wet'!AA14</f>
        <v>5.1993814907105688E-2</v>
      </c>
      <c r="AL5" s="346">
        <f>Grass!Y9</f>
        <v>0.69152179558825089</v>
      </c>
      <c r="AM5" s="346">
        <f>Grass!AD9</f>
        <v>0.28116182596806993</v>
      </c>
      <c r="AN5" s="346">
        <f>Grass!AI9</f>
        <v>0.1472153591961407</v>
      </c>
      <c r="AO5" s="347">
        <f>'Forest(McArthur)'!R9</f>
        <v>0</v>
      </c>
      <c r="AP5" s="348">
        <f>'Forest(VESTA)'!S14</f>
        <v>64555.167328049574</v>
      </c>
      <c r="AQ5" s="348">
        <f>'DryForest(VESTA)'!S14</f>
        <v>64487.475256257589</v>
      </c>
    </row>
    <row r="6" spans="1:43" x14ac:dyDescent="0.25">
      <c r="A6" s="29" t="str">
        <f>Weather_Site!A13</f>
        <v>Mon</v>
      </c>
      <c r="B6" s="74">
        <f>Weather_Site!B13</f>
        <v>41281</v>
      </c>
      <c r="C6" s="75">
        <f>Weather_Site!C13</f>
        <v>0.25</v>
      </c>
      <c r="D6" s="29">
        <f>Weather_Site!D13</f>
        <v>17.5</v>
      </c>
      <c r="E6" s="29">
        <f>Weather_Site!E13</f>
        <v>94.5</v>
      </c>
      <c r="F6" s="29">
        <f>Weather_Site!F13</f>
        <v>166</v>
      </c>
      <c r="G6" s="29">
        <f>Weather_Site!G13</f>
        <v>3</v>
      </c>
      <c r="H6" s="33">
        <f>'Forest(McArthur)'!N10</f>
        <v>0.92058003695395629</v>
      </c>
      <c r="I6" s="33">
        <f>Grass!I10</f>
        <v>0.32298645909018969</v>
      </c>
      <c r="J6" s="349">
        <f>'Forest(McArthur)'!O10</f>
        <v>26.512705064273941</v>
      </c>
      <c r="K6" s="349">
        <f>'Forest(McArthur)'!AB10</f>
        <v>7.2679382906272973</v>
      </c>
      <c r="L6" s="349">
        <f>'Forest(VESTA)'!P15</f>
        <v>5.8262600578676453</v>
      </c>
      <c r="M6" s="349">
        <f>'DryForest(VESTA)'!P15</f>
        <v>5.8302390038940484</v>
      </c>
      <c r="N6" s="349">
        <f>'VESTA Mk2 Dry'!Y15</f>
        <v>4.8440574657568858</v>
      </c>
      <c r="O6" s="349">
        <f>'VESTA Mk2 Wet'!Z15</f>
        <v>0.60381892933517722</v>
      </c>
      <c r="P6" s="349">
        <f>RedBook!AA15</f>
        <v>15.427425701778439</v>
      </c>
      <c r="Q6" s="350">
        <f>Grass!W10</f>
        <v>27.475987203241701</v>
      </c>
      <c r="R6" s="350">
        <f>Grass!AB10</f>
        <v>21.731878380264341</v>
      </c>
      <c r="S6" s="350">
        <f>Grass!AG10</f>
        <v>0</v>
      </c>
      <c r="T6" s="350">
        <f>Heath!L10</f>
        <v>156.35661372639933</v>
      </c>
      <c r="U6" s="351">
        <f>Buttongrass!M14</f>
        <v>54.82932619354947</v>
      </c>
      <c r="V6" s="352">
        <f>'WA Mallee'!J10</f>
        <v>257.11188641975514</v>
      </c>
      <c r="W6" s="344">
        <f>'Forest(McArthur)'!S10</f>
        <v>328.77875296104833</v>
      </c>
      <c r="X6" s="344">
        <f>'Forest(McArthur)'!AF10</f>
        <v>87.215259487527561</v>
      </c>
      <c r="Y6" s="344">
        <f>'Forest(VESTA)'!T15</f>
        <v>69.23539035432718</v>
      </c>
      <c r="Z6" s="344">
        <f>'DryForest(VESTA)'!T15</f>
        <v>69.282673496274271</v>
      </c>
      <c r="AA6" s="344">
        <f>'VESTA Mk2 Dry'!AB15</f>
        <v>57.563549551410993</v>
      </c>
      <c r="AB6" s="344">
        <f>'VESTA Mk2 Wet'!AC15</f>
        <v>9.9831396316749306</v>
      </c>
      <c r="AC6" s="345">
        <f>Grass!Z10</f>
        <v>85.181055527489917</v>
      </c>
      <c r="AD6" s="345">
        <f>Grass!AE10</f>
        <v>44.915446236330347</v>
      </c>
      <c r="AE6" s="345">
        <f>Grass!AJ10</f>
        <v>0</v>
      </c>
      <c r="AF6" s="346">
        <f>'Forest(McArthur)'!Q10</f>
        <v>4.1046651658355611</v>
      </c>
      <c r="AG6" s="346">
        <f>'Forest(McArthur)'!AD10</f>
        <v>0.38544212550706514</v>
      </c>
      <c r="AH6" s="346">
        <f>'Forest(VESTA)'!R15</f>
        <v>0.11515769319047338</v>
      </c>
      <c r="AI6" s="346">
        <f>'DryForest(VESTA)'!R15</f>
        <v>0.12327956652236645</v>
      </c>
      <c r="AJ6" s="346">
        <f>'VESTA Mk2 Dry'!Z15</f>
        <v>0.12254507708031134</v>
      </c>
      <c r="AK6" s="346">
        <f>'VESTA Mk2 Wet'!AA15</f>
        <v>5.1574328815148306E-2</v>
      </c>
      <c r="AL6" s="346">
        <f>Grass!Y10</f>
        <v>0.58016265152210278</v>
      </c>
      <c r="AM6" s="346">
        <f>Grass!AD10</f>
        <v>0.23652228072254475</v>
      </c>
      <c r="AN6" s="346">
        <f>Grass!AI10</f>
        <v>3.038128512836093E-2</v>
      </c>
      <c r="AO6" s="347">
        <f>'Forest(McArthur)'!R10</f>
        <v>0</v>
      </c>
      <c r="AP6" s="348">
        <f>'Forest(VESTA)'!S15</f>
        <v>53591.232493862466</v>
      </c>
      <c r="AQ6" s="348">
        <f>'DryForest(VESTA)'!S15</f>
        <v>53533.929264287784</v>
      </c>
    </row>
    <row r="7" spans="1:43" x14ac:dyDescent="0.25">
      <c r="A7" s="29" t="str">
        <f>Weather_Site!A14</f>
        <v>Mon</v>
      </c>
      <c r="B7" s="74">
        <f>Weather_Site!B14</f>
        <v>41281</v>
      </c>
      <c r="C7" s="75">
        <f>Weather_Site!C14</f>
        <v>0.29166666666666669</v>
      </c>
      <c r="D7" s="29">
        <f>Weather_Site!D14</f>
        <v>17.7</v>
      </c>
      <c r="E7" s="29">
        <f>Weather_Site!E14</f>
        <v>92.7</v>
      </c>
      <c r="F7" s="29">
        <f>Weather_Site!F14</f>
        <v>162</v>
      </c>
      <c r="G7" s="29">
        <f>Weather_Site!G14</f>
        <v>2</v>
      </c>
      <c r="H7" s="33">
        <f>'Forest(McArthur)'!N11</f>
        <v>0.96339542591394534</v>
      </c>
      <c r="I7" s="33">
        <f>Grass!I11</f>
        <v>0.27030290644521698</v>
      </c>
      <c r="J7" s="349">
        <f>'Forest(McArthur)'!O11</f>
        <v>27.745788266321625</v>
      </c>
      <c r="K7" s="349">
        <f>'Forest(McArthur)'!AB11</f>
        <v>7.4914072216373446</v>
      </c>
      <c r="L7" s="349">
        <f>'Forest(VESTA)'!P16</f>
        <v>5.9824867474068464</v>
      </c>
      <c r="M7" s="349">
        <f>'DryForest(VESTA)'!P16</f>
        <v>5.9859585302952283</v>
      </c>
      <c r="N7" s="349">
        <f>'VESTA Mk2 Dry'!Y16</f>
        <v>4.997684579058796</v>
      </c>
      <c r="O7" s="349">
        <f>'VESTA Mk2 Wet'!Z16</f>
        <v>0.62296877628199077</v>
      </c>
      <c r="P7" s="349">
        <f>RedBook!AA16</f>
        <v>12.518009268916373</v>
      </c>
      <c r="Q7" s="350">
        <f>Grass!W11</f>
        <v>24.01297898962568</v>
      </c>
      <c r="R7" s="350">
        <f>Grass!AB11</f>
        <v>19.145483248485334</v>
      </c>
      <c r="S7" s="350">
        <f>Grass!AG11</f>
        <v>0</v>
      </c>
      <c r="T7" s="350">
        <f>Heath!L11</f>
        <v>128.55129048470343</v>
      </c>
      <c r="U7" s="351">
        <f>Buttongrass!M15</f>
        <v>32.874926760758747</v>
      </c>
      <c r="V7" s="352">
        <f>'WA Mallee'!J11</f>
        <v>167.9679155609698</v>
      </c>
      <c r="W7" s="344">
        <f>'Forest(McArthur)'!S11</f>
        <v>344.06997113300127</v>
      </c>
      <c r="X7" s="344">
        <f>'Forest(McArthur)'!AF11</f>
        <v>89.896886659648146</v>
      </c>
      <c r="Y7" s="344">
        <f>'Forest(VESTA)'!T16</f>
        <v>71.091884181684691</v>
      </c>
      <c r="Z7" s="344">
        <f>'DryForest(VESTA)'!T16</f>
        <v>71.133140535008295</v>
      </c>
      <c r="AA7" s="344">
        <f>'VESTA Mk2 Dry'!AB16</f>
        <v>59.389151747815355</v>
      </c>
      <c r="AB7" s="344">
        <f>'VESTA Mk2 Wet'!AC16</f>
        <v>10.299750434528914</v>
      </c>
      <c r="AC7" s="345">
        <f>Grass!Z11</f>
        <v>74.445037463637533</v>
      </c>
      <c r="AD7" s="345">
        <f>Grass!AE11</f>
        <v>39.569884777969492</v>
      </c>
      <c r="AE7" s="345">
        <f>Grass!AJ11</f>
        <v>0</v>
      </c>
      <c r="AF7" s="346">
        <f>'Forest(McArthur)'!Q11</f>
        <v>4.120695247462181</v>
      </c>
      <c r="AG7" s="346">
        <f>'Forest(McArthur)'!AD11</f>
        <v>0.39701516956767813</v>
      </c>
      <c r="AH7" s="346">
        <f>'Forest(VESTA)'!R16</f>
        <v>0.11738202179033685</v>
      </c>
      <c r="AI7" s="346">
        <f>'DryForest(VESTA)'!R16</f>
        <v>0.12565145712241574</v>
      </c>
      <c r="AJ7" s="346">
        <f>'VESTA Mk2 Dry'!Z16</f>
        <v>0.12534281051320362</v>
      </c>
      <c r="AK7" s="346">
        <f>'VESTA Mk2 Wet'!AA16</f>
        <v>5.2751783082940366E-2</v>
      </c>
      <c r="AL7" s="346">
        <f>Grass!Y11</f>
        <v>0.55621239088721075</v>
      </c>
      <c r="AM7" s="346">
        <f>Grass!AD11</f>
        <v>0.22736245598825969</v>
      </c>
      <c r="AN7" s="346">
        <f>Grass!AI11</f>
        <v>3.038128512836093E-2</v>
      </c>
      <c r="AO7" s="347">
        <f>'Forest(McArthur)'!R11</f>
        <v>0</v>
      </c>
      <c r="AP7" s="348">
        <f>'Forest(VESTA)'!S16</f>
        <v>43826.442949889388</v>
      </c>
      <c r="AQ7" s="348">
        <f>'DryForest(VESTA)'!S16</f>
        <v>43786.272674124746</v>
      </c>
    </row>
    <row r="8" spans="1:43" x14ac:dyDescent="0.25">
      <c r="A8" s="29" t="str">
        <f>Weather_Site!A15</f>
        <v>Mon</v>
      </c>
      <c r="B8" s="74">
        <f>Weather_Site!B15</f>
        <v>41281</v>
      </c>
      <c r="C8" s="75">
        <f>Weather_Site!C15</f>
        <v>0.33333333333333331</v>
      </c>
      <c r="D8" s="29">
        <f>Weather_Site!D15</f>
        <v>18.399999999999999</v>
      </c>
      <c r="E8" s="29">
        <f>Weather_Site!E15</f>
        <v>87</v>
      </c>
      <c r="F8" s="29">
        <f>Weather_Site!F15</f>
        <v>160</v>
      </c>
      <c r="G8" s="29">
        <f>Weather_Site!G15</f>
        <v>2</v>
      </c>
      <c r="H8" s="33">
        <f>'Forest(McArthur)'!N12</f>
        <v>0.76440126315765422</v>
      </c>
      <c r="I8" s="33">
        <f>Grass!I12</f>
        <v>0.29448028228437184</v>
      </c>
      <c r="J8" s="349">
        <f>'Forest(McArthur)'!O12</f>
        <v>22.014756378940437</v>
      </c>
      <c r="K8" s="349">
        <f>'Forest(McArthur)'!AB12</f>
        <v>5.8407481243843247</v>
      </c>
      <c r="L8" s="349">
        <f>'Forest(VESTA)'!P17</f>
        <v>7.7038769320530296</v>
      </c>
      <c r="M8" s="349">
        <f>'DryForest(VESTA)'!P17</f>
        <v>7.6438307396954368</v>
      </c>
      <c r="N8" s="349">
        <f>'VESTA Mk2 Dry'!Y17</f>
        <v>5.5550530525928634</v>
      </c>
      <c r="O8" s="349">
        <f>'VESTA Mk2 Wet'!Z17</f>
        <v>0.65733287444118726</v>
      </c>
      <c r="P8" s="349">
        <f>RedBook!AA17</f>
        <v>13.835669712532393</v>
      </c>
      <c r="Q8" s="350">
        <f>Grass!W12</f>
        <v>40.466733179004997</v>
      </c>
      <c r="R8" s="350">
        <f>Grass!AB12</f>
        <v>32.264016994071547</v>
      </c>
      <c r="S8" s="350">
        <f>Grass!AG12</f>
        <v>0</v>
      </c>
      <c r="T8" s="350">
        <f>Heath!L12</f>
        <v>138.57243321734191</v>
      </c>
      <c r="U8" s="351">
        <f>Buttongrass!M16</f>
        <v>34.052213006020288</v>
      </c>
      <c r="V8" s="352">
        <f>'WA Mallee'!J12</f>
        <v>167.9679155609698</v>
      </c>
      <c r="W8" s="344">
        <f>'Forest(McArthur)'!S12</f>
        <v>172.7496928443104</v>
      </c>
      <c r="X8" s="344">
        <f>'Forest(McArthur)'!AF12</f>
        <v>45.201992788154364</v>
      </c>
      <c r="Y8" s="344">
        <f>'Forest(VESTA)'!T17</f>
        <v>91.54773754256351</v>
      </c>
      <c r="Z8" s="344">
        <f>'DryForest(VESTA)'!T17</f>
        <v>90.834188623380768</v>
      </c>
      <c r="AA8" s="344">
        <f>'VESTA Mk2 Dry'!AB17</f>
        <v>66.012547108311864</v>
      </c>
      <c r="AB8" s="344">
        <f>'VESTA Mk2 Wet'!AC17</f>
        <v>10.867903524094297</v>
      </c>
      <c r="AC8" s="345">
        <f>Grass!Z12</f>
        <v>125.45496620155131</v>
      </c>
      <c r="AD8" s="345">
        <f>Grass!AE12</f>
        <v>66.683270323347088</v>
      </c>
      <c r="AE8" s="345">
        <f>Grass!AJ12</f>
        <v>0</v>
      </c>
      <c r="AF8" s="346">
        <f>'Forest(McArthur)'!Q12</f>
        <v>4.0461918329262252</v>
      </c>
      <c r="AG8" s="346">
        <f>'Forest(McArthur)'!AD12</f>
        <v>0.21478756716849703</v>
      </c>
      <c r="AH8" s="346">
        <f>'Forest(VESTA)'!R17</f>
        <v>0.14093112993542634</v>
      </c>
      <c r="AI8" s="346">
        <f>'DryForest(VESTA)'!R17</f>
        <v>0.1499456112930137</v>
      </c>
      <c r="AJ8" s="346">
        <f>'VESTA Mk2 Dry'!Z17</f>
        <v>0.13530041591623432</v>
      </c>
      <c r="AK8" s="346">
        <f>'VESTA Mk2 Wet'!AA17</f>
        <v>5.483992264642279E-2</v>
      </c>
      <c r="AL8" s="346">
        <f>Grass!Y12</f>
        <v>0.65489123361728685</v>
      </c>
      <c r="AM8" s="346">
        <f>Grass!AD12</f>
        <v>0.2675355679614882</v>
      </c>
      <c r="AN8" s="346">
        <f>Grass!AI12</f>
        <v>3.038128512836093E-2</v>
      </c>
      <c r="AO8" s="347">
        <f>'Forest(McArthur)'!R12</f>
        <v>0</v>
      </c>
      <c r="AP8" s="348">
        <f>'Forest(VESTA)'!S17</f>
        <v>29262.793699778649</v>
      </c>
      <c r="AQ8" s="348">
        <f>'DryForest(VESTA)'!S17</f>
        <v>29635.039419981018</v>
      </c>
    </row>
    <row r="9" spans="1:43" x14ac:dyDescent="0.25">
      <c r="A9" s="29" t="str">
        <f>Weather_Site!A16</f>
        <v>Mon</v>
      </c>
      <c r="B9" s="74">
        <f>Weather_Site!B16</f>
        <v>41281</v>
      </c>
      <c r="C9" s="75">
        <f>Weather_Site!C16</f>
        <v>0.375</v>
      </c>
      <c r="D9" s="29">
        <f>Weather_Site!D16</f>
        <v>19.8</v>
      </c>
      <c r="E9" s="29">
        <f>Weather_Site!E16</f>
        <v>78.3</v>
      </c>
      <c r="F9" s="29">
        <f>Weather_Site!F16</f>
        <v>123</v>
      </c>
      <c r="G9" s="29">
        <f>Weather_Site!G16</f>
        <v>4</v>
      </c>
      <c r="H9" s="33">
        <f>'Forest(McArthur)'!N13</f>
        <v>0.74178144140621449</v>
      </c>
      <c r="I9" s="33">
        <f>Grass!I13</f>
        <v>0.49554876757149835</v>
      </c>
      <c r="J9" s="349">
        <f>'Forest(McArthur)'!O13</f>
        <v>21.363305512498975</v>
      </c>
      <c r="K9" s="349">
        <f>'Forest(McArthur)'!AB13</f>
        <v>6.727232537942851</v>
      </c>
      <c r="L9" s="349">
        <f>'Forest(VESTA)'!P18</f>
        <v>8.8025490806885696</v>
      </c>
      <c r="M9" s="349">
        <f>'DryForest(VESTA)'!P18</f>
        <v>8.7687053608237946</v>
      </c>
      <c r="N9" s="349">
        <f>'VESTA Mk2 Dry'!Y18</f>
        <v>6.1302445754994466</v>
      </c>
      <c r="O9" s="349">
        <f>'VESTA Mk2 Wet'!Z18</f>
        <v>0.6884575229917328</v>
      </c>
      <c r="P9" s="349">
        <f>RedBook!AA18</f>
        <v>0</v>
      </c>
      <c r="Q9" s="350">
        <f>Grass!W13</f>
        <v>127.42382650263504</v>
      </c>
      <c r="R9" s="350">
        <f>Grass!AB13</f>
        <v>100.36035892685413</v>
      </c>
      <c r="S9" s="350">
        <f>Grass!AG13</f>
        <v>0</v>
      </c>
      <c r="T9" s="350">
        <f>Heath!L13</f>
        <v>232.20747361655918</v>
      </c>
      <c r="U9" s="351">
        <f>Buttongrass!M17</f>
        <v>94.172986227529677</v>
      </c>
      <c r="V9" s="352">
        <f>'WA Mallee'!J13</f>
        <v>347.78258262204469</v>
      </c>
      <c r="W9" s="344">
        <f>'Forest(McArthur)'!S13</f>
        <v>109.0611341034048</v>
      </c>
      <c r="X9" s="344">
        <f>'Forest(McArthur)'!AF13</f>
        <v>41.528447837026121</v>
      </c>
      <c r="Y9" s="344">
        <f>'Forest(VESTA)'!T18</f>
        <v>104.60362490884918</v>
      </c>
      <c r="Z9" s="344">
        <f>'DryForest(VESTA)'!T18</f>
        <v>104.20144870445611</v>
      </c>
      <c r="AA9" s="344">
        <f>'VESTA Mk2 Dry'!AB18</f>
        <v>72.847739705518421</v>
      </c>
      <c r="AB9" s="344">
        <f>'VESTA Mk2 Wet'!AC18</f>
        <v>11.382497713463316</v>
      </c>
      <c r="AC9" s="345">
        <f>Grass!Z13</f>
        <v>395.03934692346922</v>
      </c>
      <c r="AD9" s="345">
        <f>Grass!AE13</f>
        <v>207.42478983002215</v>
      </c>
      <c r="AE9" s="345">
        <f>Grass!AJ13</f>
        <v>0</v>
      </c>
      <c r="AF9" s="346">
        <f>'Forest(McArthur)'!Q13</f>
        <v>4.0377229716624861</v>
      </c>
      <c r="AG9" s="346">
        <f>'Forest(McArthur)'!AD13</f>
        <v>0.20195294111499029</v>
      </c>
      <c r="AH9" s="346">
        <f>'Forest(VESTA)'!R18</f>
        <v>0.15519152361410807</v>
      </c>
      <c r="AI9" s="346">
        <f>'DryForest(VESTA)'!R18</f>
        <v>0.16559309054041207</v>
      </c>
      <c r="AJ9" s="346">
        <f>'VESTA Mk2 Dry'!Z18</f>
        <v>0.14529009433421652</v>
      </c>
      <c r="AK9" s="346">
        <f>'VESTA Mk2 Wet'!AA18</f>
        <v>5.670524131359829E-2</v>
      </c>
      <c r="AL9" s="346">
        <f>Grass!Y13</f>
        <v>0.93753492382854042</v>
      </c>
      <c r="AM9" s="346">
        <f>Grass!AD13</f>
        <v>0.38117289396674531</v>
      </c>
      <c r="AN9" s="346">
        <f>Grass!AI13</f>
        <v>3.038128512836093E-2</v>
      </c>
      <c r="AO9" s="347">
        <f>'Forest(McArthur)'!R13</f>
        <v>0</v>
      </c>
      <c r="AP9" s="348">
        <f>'Forest(VESTA)'!S18</f>
        <v>31211.266928064611</v>
      </c>
      <c r="AQ9" s="348">
        <f>'DryForest(VESTA)'!S18</f>
        <v>31405.351293660515</v>
      </c>
    </row>
    <row r="10" spans="1:43" x14ac:dyDescent="0.25">
      <c r="A10" s="29" t="str">
        <f>Weather_Site!A17</f>
        <v>Mon</v>
      </c>
      <c r="B10" s="74">
        <f>Weather_Site!B17</f>
        <v>41281</v>
      </c>
      <c r="C10" s="75">
        <f>Weather_Site!C17</f>
        <v>0.41666666666666669</v>
      </c>
      <c r="D10" s="29">
        <f>Weather_Site!D17</f>
        <v>21.7</v>
      </c>
      <c r="E10" s="29">
        <f>Weather_Site!E17</f>
        <v>69.599999999999994</v>
      </c>
      <c r="F10" s="29">
        <f>Weather_Site!F17</f>
        <v>51</v>
      </c>
      <c r="G10" s="29">
        <f>Weather_Site!G17</f>
        <v>6</v>
      </c>
      <c r="H10" s="33">
        <f>'Forest(McArthur)'!N14</f>
        <v>2.1246708055395747</v>
      </c>
      <c r="I10" s="33">
        <f>Grass!I14</f>
        <v>0.77935289450698353</v>
      </c>
      <c r="J10" s="349">
        <f>'Forest(McArthur)'!O14</f>
        <v>61.190519199539743</v>
      </c>
      <c r="K10" s="349" t="e">
        <f>'Forest(McArthur)'!AB14</f>
        <v>#NUM!</v>
      </c>
      <c r="L10" s="349">
        <f>'Forest(VESTA)'!P19</f>
        <v>0</v>
      </c>
      <c r="M10" s="349">
        <f>'DryForest(VESTA)'!P19</f>
        <v>0</v>
      </c>
      <c r="N10" s="349">
        <f>'VESTA Mk2 Dry'!Y19</f>
        <v>7.3768903629230564</v>
      </c>
      <c r="O10" s="349">
        <f>'VESTA Mk2 Wet'!Z19</f>
        <v>0</v>
      </c>
      <c r="P10" s="349">
        <f>RedBook!AA19</f>
        <v>0</v>
      </c>
      <c r="Q10" s="350">
        <f>Grass!W14</f>
        <v>358.45804602520309</v>
      </c>
      <c r="R10" s="350">
        <f>Grass!AB14</f>
        <v>290.70659228585509</v>
      </c>
      <c r="S10" s="350">
        <f>Grass!AG14</f>
        <v>145.27321168224276</v>
      </c>
      <c r="T10" s="350">
        <f>Heath!L14</f>
        <v>360.24148972610027</v>
      </c>
      <c r="U10" s="351">
        <f>Buttongrass!M18</f>
        <v>0</v>
      </c>
      <c r="V10" s="352">
        <f>'WA Mallee'!J14</f>
        <v>0</v>
      </c>
      <c r="W10" s="344">
        <f>'Forest(McArthur)'!S14</f>
        <v>598.13608970978009</v>
      </c>
      <c r="X10" s="344" t="e">
        <f>'Forest(McArthur)'!AF14</f>
        <v>#NUM!</v>
      </c>
      <c r="Y10" s="344">
        <f>'Forest(VESTA)'!T19</f>
        <v>0</v>
      </c>
      <c r="Z10" s="344">
        <f>'DryForest(VESTA)'!T19</f>
        <v>0</v>
      </c>
      <c r="AA10" s="344">
        <f>'VESTA Mk2 Dry'!AB19</f>
        <v>87.662047146068986</v>
      </c>
      <c r="AB10" s="344">
        <f>'VESTA Mk2 Wet'!AC19</f>
        <v>0</v>
      </c>
      <c r="AC10" s="345">
        <f>Grass!Z14</f>
        <v>1111.2916342873348</v>
      </c>
      <c r="AD10" s="345">
        <f>Grass!AE14</f>
        <v>600.83238493640533</v>
      </c>
      <c r="AE10" s="345">
        <f>Grass!AJ14</f>
        <v>112.59400271432226</v>
      </c>
      <c r="AF10" s="346">
        <f>'Forest(McArthur)'!Q14</f>
        <v>4.5554767495940167</v>
      </c>
      <c r="AG10" s="346" t="e">
        <f>'Forest(McArthur)'!AD14</f>
        <v>#NUM!</v>
      </c>
      <c r="AH10" s="346">
        <f>'Forest(VESTA)'!R19</f>
        <v>0</v>
      </c>
      <c r="AI10" s="346">
        <f>'DryForest(VESTA)'!R19</f>
        <v>0</v>
      </c>
      <c r="AJ10" s="346">
        <f>'VESTA Mk2 Dry'!Z19</f>
        <v>0.16609707018374276</v>
      </c>
      <c r="AK10" s="346">
        <f>'VESTA Mk2 Wet'!AA19</f>
        <v>0</v>
      </c>
      <c r="AL10" s="346">
        <f>Grass!Y14</f>
        <v>1.2948842888453194</v>
      </c>
      <c r="AM10" s="346">
        <f>Grass!AD14</f>
        <v>0.53115345999187979</v>
      </c>
      <c r="AN10" s="346">
        <f>Grass!AI14</f>
        <v>0.19368831782084767</v>
      </c>
      <c r="AO10" s="347">
        <f>'Forest(McArthur)'!R14</f>
        <v>0</v>
      </c>
      <c r="AP10" s="348">
        <f>'Forest(VESTA)'!S19</f>
        <v>0</v>
      </c>
      <c r="AQ10" s="348">
        <f>'DryForest(VESTA)'!S19</f>
        <v>0</v>
      </c>
    </row>
    <row r="11" spans="1:43" x14ac:dyDescent="0.25">
      <c r="A11" s="29" t="str">
        <f>Weather_Site!A18</f>
        <v>Mon</v>
      </c>
      <c r="B11" s="74">
        <f>Weather_Site!B18</f>
        <v>41281</v>
      </c>
      <c r="C11" s="75">
        <f>Weather_Site!C18</f>
        <v>0.45833333333333331</v>
      </c>
      <c r="D11" s="29">
        <f>Weather_Site!D18</f>
        <v>23.6</v>
      </c>
      <c r="E11" s="29">
        <f>Weather_Site!E18</f>
        <v>62.1</v>
      </c>
      <c r="F11" s="29">
        <f>Weather_Site!F18</f>
        <v>14</v>
      </c>
      <c r="G11" s="29">
        <f>Weather_Site!G18</f>
        <v>9</v>
      </c>
      <c r="H11" s="33">
        <f>'Forest(McArthur)'!N15</f>
        <v>3.1480615275701234</v>
      </c>
      <c r="I11" s="33">
        <f>Grass!I15</f>
        <v>0</v>
      </c>
      <c r="J11" s="349">
        <f>'Forest(McArthur)'!O15</f>
        <v>90.664171994019554</v>
      </c>
      <c r="K11" s="349" t="e">
        <f>'Forest(McArthur)'!AB15</f>
        <v>#NUM!</v>
      </c>
      <c r="L11" s="349">
        <f>'Forest(VESTA)'!P20</f>
        <v>0</v>
      </c>
      <c r="M11" s="349">
        <f>'DryForest(VESTA)'!P20</f>
        <v>0</v>
      </c>
      <c r="N11" s="349">
        <f>'VESTA Mk2 Dry'!Y20</f>
        <v>127.8214141145954</v>
      </c>
      <c r="O11" s="349"/>
      <c r="P11" s="349">
        <f>RedBook!AA20</f>
        <v>0</v>
      </c>
      <c r="Q11" s="350">
        <f>Grass!W15</f>
        <v>0</v>
      </c>
      <c r="R11" s="350">
        <f>Grass!AB15</f>
        <v>0</v>
      </c>
      <c r="S11" s="350">
        <f>Grass!AG15</f>
        <v>0</v>
      </c>
      <c r="T11" s="350">
        <f>Heath!L15</f>
        <v>0</v>
      </c>
      <c r="U11" s="351">
        <f>Buttongrass!M19</f>
        <v>0</v>
      </c>
      <c r="V11" s="352">
        <f>'WA Mallee'!J15</f>
        <v>0</v>
      </c>
      <c r="W11" s="344">
        <f>'Forest(McArthur)'!S15</f>
        <v>886.24045068873534</v>
      </c>
      <c r="X11" s="344" t="e">
        <f>'Forest(McArthur)'!AF15</f>
        <v>#NUM!</v>
      </c>
      <c r="Y11" s="344">
        <f>'Forest(VESTA)'!T20</f>
        <v>0</v>
      </c>
      <c r="Z11" s="344">
        <f>'DryForest(VESTA)'!T20</f>
        <v>0</v>
      </c>
      <c r="AA11" s="344">
        <f>'VESTA Mk2 Dry'!AB20</f>
        <v>1518.9444710617754</v>
      </c>
      <c r="AB11" s="344">
        <f>'VESTA Mk2 Wet'!AC20</f>
        <v>0</v>
      </c>
      <c r="AC11" s="345">
        <f>Grass!Z15</f>
        <v>0</v>
      </c>
      <c r="AD11" s="345">
        <f>Grass!AE15</f>
        <v>0</v>
      </c>
      <c r="AE11" s="345">
        <f>Grass!AJ15</f>
        <v>0</v>
      </c>
      <c r="AF11" s="346">
        <f>'Forest(McArthur)'!Q15</f>
        <v>4.9386342359222537</v>
      </c>
      <c r="AG11" s="346" t="e">
        <f>'Forest(McArthur)'!AD15</f>
        <v>#NUM!</v>
      </c>
      <c r="AH11" s="346">
        <f>'Forest(VESTA)'!R20</f>
        <v>0</v>
      </c>
      <c r="AI11" s="346">
        <f>'DryForest(VESTA)'!R20</f>
        <v>0</v>
      </c>
      <c r="AJ11" s="346">
        <f>'VESTA Mk2 Dry'!Z20</f>
        <v>1.3060625325195183</v>
      </c>
      <c r="AK11" s="346">
        <f>'VESTA Mk2 Wet'!AA20</f>
        <v>0</v>
      </c>
      <c r="AL11" s="346">
        <f>Grass!Y15</f>
        <v>0</v>
      </c>
      <c r="AM11" s="346">
        <f>Grass!AD15</f>
        <v>0</v>
      </c>
      <c r="AN11" s="346">
        <f>Grass!AI15</f>
        <v>0</v>
      </c>
      <c r="AO11" s="347">
        <f>'Forest(McArthur)'!R15</f>
        <v>0</v>
      </c>
      <c r="AP11" s="348">
        <f>'Forest(VESTA)'!S20</f>
        <v>0</v>
      </c>
      <c r="AQ11" s="348">
        <f>'DryForest(VESTA)'!S20</f>
        <v>0</v>
      </c>
    </row>
    <row r="12" spans="1:43" x14ac:dyDescent="0.25">
      <c r="A12" s="29" t="str">
        <f>Weather_Site!A19</f>
        <v>Mon</v>
      </c>
      <c r="B12" s="74">
        <f>Weather_Site!B19</f>
        <v>41281</v>
      </c>
      <c r="C12" s="75">
        <f>Weather_Site!C19</f>
        <v>0.5</v>
      </c>
      <c r="D12" s="29">
        <f>Weather_Site!D19</f>
        <v>25.7</v>
      </c>
      <c r="E12" s="29">
        <f>Weather_Site!E19</f>
        <v>55.1</v>
      </c>
      <c r="F12" s="29">
        <f>Weather_Site!F19</f>
        <v>23</v>
      </c>
      <c r="G12" s="29">
        <f>Weather_Site!G19</f>
        <v>11</v>
      </c>
      <c r="H12" s="33">
        <f>'Forest(McArthur)'!N16</f>
        <v>4.5089615649818464</v>
      </c>
      <c r="I12" s="33">
        <f>Grass!I16</f>
        <v>0</v>
      </c>
      <c r="J12" s="349">
        <f>'Forest(McArthur)'!O16</f>
        <v>129.85809307147716</v>
      </c>
      <c r="K12" s="349" t="e">
        <f>'Forest(McArthur)'!AB16</f>
        <v>#NUM!</v>
      </c>
      <c r="L12" s="349">
        <f>'Forest(VESTA)'!P21</f>
        <v>0</v>
      </c>
      <c r="M12" s="349">
        <f>'DryForest(VESTA)'!P21</f>
        <v>0</v>
      </c>
      <c r="N12" s="349">
        <f>'VESTA Mk2 Dry'!Y21</f>
        <v>202.26567588612556</v>
      </c>
      <c r="O12" s="349"/>
      <c r="P12" s="349">
        <f>RedBook!AA21</f>
        <v>0</v>
      </c>
      <c r="Q12" s="350">
        <f>Grass!W16</f>
        <v>0</v>
      </c>
      <c r="R12" s="350">
        <f>Grass!AB16</f>
        <v>0</v>
      </c>
      <c r="S12" s="350">
        <f>Grass!AG16</f>
        <v>0</v>
      </c>
      <c r="T12" s="350">
        <f>Heath!L16</f>
        <v>0</v>
      </c>
      <c r="U12" s="351">
        <f>Buttongrass!M20</f>
        <v>0</v>
      </c>
      <c r="V12" s="352">
        <f>'WA Mallee'!J16</f>
        <v>0</v>
      </c>
      <c r="W12" s="344">
        <f>'Forest(McArthur)'!S16</f>
        <v>1269.3602378769531</v>
      </c>
      <c r="X12" s="344" t="e">
        <f>'Forest(McArthur)'!AF16</f>
        <v>#NUM!</v>
      </c>
      <c r="Y12" s="344">
        <f>'Forest(VESTA)'!T21</f>
        <v>0</v>
      </c>
      <c r="Z12" s="344">
        <f>'DryForest(VESTA)'!T21</f>
        <v>0</v>
      </c>
      <c r="AA12" s="344">
        <f>'VESTA Mk2 Dry'!AB21</f>
        <v>2403.5904484467924</v>
      </c>
      <c r="AB12" s="344">
        <f>'VESTA Mk2 Wet'!AC21</f>
        <v>0</v>
      </c>
      <c r="AC12" s="345">
        <f>Grass!Z16</f>
        <v>0</v>
      </c>
      <c r="AD12" s="345">
        <f>Grass!AE16</f>
        <v>0</v>
      </c>
      <c r="AE12" s="345">
        <f>Grass!AJ16</f>
        <v>0</v>
      </c>
      <c r="AF12" s="346">
        <f>'Forest(McArthur)'!Q16</f>
        <v>5.4481552099292028</v>
      </c>
      <c r="AG12" s="346" t="e">
        <f>'Forest(McArthur)'!AD16</f>
        <v>#NUM!</v>
      </c>
      <c r="AH12" s="346">
        <f>'Forest(VESTA)'!R21</f>
        <v>0</v>
      </c>
      <c r="AI12" s="346">
        <f>'DryForest(VESTA)'!R21</f>
        <v>0</v>
      </c>
      <c r="AJ12" s="346">
        <f>'VESTA Mk2 Dry'!Z21</f>
        <v>1.8199996250578401</v>
      </c>
      <c r="AK12" s="346">
        <f>'VESTA Mk2 Wet'!AA21</f>
        <v>0</v>
      </c>
      <c r="AL12" s="346">
        <f>Grass!Y16</f>
        <v>0</v>
      </c>
      <c r="AM12" s="346">
        <f>Grass!AD16</f>
        <v>0</v>
      </c>
      <c r="AN12" s="346">
        <f>Grass!AI16</f>
        <v>0</v>
      </c>
      <c r="AO12" s="347">
        <f>'Forest(McArthur)'!R16</f>
        <v>78.660638395449894</v>
      </c>
      <c r="AP12" s="348">
        <f>'Forest(VESTA)'!S21</f>
        <v>0</v>
      </c>
      <c r="AQ12" s="348">
        <f>'DryForest(VESTA)'!S21</f>
        <v>0</v>
      </c>
    </row>
    <row r="13" spans="1:43" x14ac:dyDescent="0.25">
      <c r="A13" s="29" t="str">
        <f>Weather_Site!A20</f>
        <v>Mon</v>
      </c>
      <c r="B13" s="74">
        <f>Weather_Site!B20</f>
        <v>41281</v>
      </c>
      <c r="C13" s="75">
        <f>Weather_Site!C20</f>
        <v>0.54166666666666663</v>
      </c>
      <c r="D13" s="29">
        <f>Weather_Site!D20</f>
        <v>27.8</v>
      </c>
      <c r="E13" s="29">
        <f>Weather_Site!E20</f>
        <v>48.7</v>
      </c>
      <c r="F13" s="29">
        <f>Weather_Site!F20</f>
        <v>39</v>
      </c>
      <c r="G13" s="29">
        <f>Weather_Site!G20</f>
        <v>13</v>
      </c>
      <c r="H13" s="33">
        <f>'Forest(McArthur)'!N17</f>
        <v>6.3258655767885132</v>
      </c>
      <c r="I13" s="33">
        <f>Grass!I17</f>
        <v>0</v>
      </c>
      <c r="J13" s="349">
        <f>'Forest(McArthur)'!O17</f>
        <v>182.18492861150915</v>
      </c>
      <c r="K13" s="349" t="e">
        <f>'Forest(McArthur)'!AB17</f>
        <v>#NUM!</v>
      </c>
      <c r="L13" s="349">
        <f>'Forest(VESTA)'!P22</f>
        <v>0</v>
      </c>
      <c r="M13" s="349">
        <f>'DryForest(VESTA)'!P22</f>
        <v>0</v>
      </c>
      <c r="N13" s="349">
        <f>'VESTA Mk2 Dry'!Y22</f>
        <v>424.42987228784227</v>
      </c>
      <c r="O13" s="349"/>
      <c r="P13" s="349">
        <f>RedBook!AA22</f>
        <v>0</v>
      </c>
      <c r="Q13" s="350">
        <f>Grass!W17</f>
        <v>0</v>
      </c>
      <c r="R13" s="350">
        <f>Grass!AB17</f>
        <v>0</v>
      </c>
      <c r="S13" s="350">
        <f>Grass!AG17</f>
        <v>0</v>
      </c>
      <c r="T13" s="350">
        <f>Heath!L17</f>
        <v>0</v>
      </c>
      <c r="U13" s="351">
        <f>Buttongrass!M21</f>
        <v>0</v>
      </c>
      <c r="V13" s="352">
        <f>'WA Mallee'!J17</f>
        <v>0</v>
      </c>
      <c r="W13" s="344">
        <f>'Forest(McArthur)'!S17</f>
        <v>1780.8539987770389</v>
      </c>
      <c r="X13" s="344" t="e">
        <f>'Forest(McArthur)'!AF17</f>
        <v>#NUM!</v>
      </c>
      <c r="Y13" s="344">
        <f>'Forest(VESTA)'!T22</f>
        <v>0</v>
      </c>
      <c r="Z13" s="344">
        <f>'DryForest(VESTA)'!T22</f>
        <v>0</v>
      </c>
      <c r="AA13" s="344">
        <f>'VESTA Mk2 Dry'!AB22</f>
        <v>5043.6416490205256</v>
      </c>
      <c r="AB13" s="344">
        <f>'VESTA Mk2 Wet'!AC22</f>
        <v>0</v>
      </c>
      <c r="AC13" s="345">
        <f>Grass!Z17</f>
        <v>0</v>
      </c>
      <c r="AD13" s="345">
        <f>Grass!AE17</f>
        <v>0</v>
      </c>
      <c r="AE13" s="345">
        <f>Grass!AJ17</f>
        <v>0</v>
      </c>
      <c r="AF13" s="346">
        <f>'Forest(McArthur)'!Q17</f>
        <v>6.1284040719496176</v>
      </c>
      <c r="AG13" s="346" t="e">
        <f>'Forest(McArthur)'!AD17</f>
        <v>#NUM!</v>
      </c>
      <c r="AH13" s="346">
        <f>'Forest(VESTA)'!R22</f>
        <v>0</v>
      </c>
      <c r="AI13" s="346">
        <f>'DryForest(VESTA)'!R22</f>
        <v>0</v>
      </c>
      <c r="AJ13" s="346">
        <f>'VESTA Mk2 Dry'!Z22</f>
        <v>3.1102353406480243</v>
      </c>
      <c r="AK13" s="346">
        <f>'VESTA Mk2 Wet'!AA22</f>
        <v>0</v>
      </c>
      <c r="AL13" s="346">
        <f>Grass!Y17</f>
        <v>0</v>
      </c>
      <c r="AM13" s="346">
        <f>Grass!AD17</f>
        <v>0</v>
      </c>
      <c r="AN13" s="346">
        <f>Grass!AI17</f>
        <v>0</v>
      </c>
      <c r="AO13" s="347">
        <f>'Forest(McArthur)'!R17</f>
        <v>255.42068884967796</v>
      </c>
      <c r="AP13" s="348">
        <f>'Forest(VESTA)'!S22</f>
        <v>0</v>
      </c>
      <c r="AQ13" s="348">
        <f>'DryForest(VESTA)'!S22</f>
        <v>0</v>
      </c>
    </row>
    <row r="14" spans="1:43" x14ac:dyDescent="0.25">
      <c r="A14" s="29" t="str">
        <f>Weather_Site!A21</f>
        <v>Mon</v>
      </c>
      <c r="B14" s="74">
        <f>Weather_Site!B21</f>
        <v>41281</v>
      </c>
      <c r="C14" s="75">
        <f>Weather_Site!C21</f>
        <v>0.58333333333333337</v>
      </c>
      <c r="D14" s="29">
        <f>Weather_Site!D21</f>
        <v>29.4</v>
      </c>
      <c r="E14" s="29">
        <f>Weather_Site!E21</f>
        <v>44.1</v>
      </c>
      <c r="F14" s="29">
        <f>Weather_Site!F21</f>
        <v>47</v>
      </c>
      <c r="G14" s="29">
        <f>Weather_Site!G21</f>
        <v>15</v>
      </c>
      <c r="H14" s="33">
        <f>'Forest(McArthur)'!N18</f>
        <v>8.2007603479858595</v>
      </c>
      <c r="I14" s="33">
        <f>Grass!I18</f>
        <v>0</v>
      </c>
      <c r="J14" s="349">
        <f>'Forest(McArthur)'!O18</f>
        <v>236.18189802199274</v>
      </c>
      <c r="K14" s="349" t="e">
        <f>'Forest(McArthur)'!AB18</f>
        <v>#NUM!</v>
      </c>
      <c r="L14" s="349">
        <f>'Forest(VESTA)'!P23</f>
        <v>0</v>
      </c>
      <c r="M14" s="349">
        <f>'DryForest(VESTA)'!P23</f>
        <v>0</v>
      </c>
      <c r="N14" s="349">
        <f>'VESTA Mk2 Dry'!Y23</f>
        <v>534.13276839371269</v>
      </c>
      <c r="O14" s="349"/>
      <c r="P14" s="349">
        <f>RedBook!AA23</f>
        <v>0</v>
      </c>
      <c r="Q14" s="350">
        <f>Grass!W18</f>
        <v>0</v>
      </c>
      <c r="R14" s="350">
        <f>Grass!AB18</f>
        <v>0</v>
      </c>
      <c r="S14" s="350">
        <f>Grass!AG18</f>
        <v>0</v>
      </c>
      <c r="T14" s="350">
        <f>Heath!L18</f>
        <v>0</v>
      </c>
      <c r="U14" s="351">
        <f>Buttongrass!M22</f>
        <v>0</v>
      </c>
      <c r="V14" s="352">
        <f>'WA Mallee'!J18</f>
        <v>0</v>
      </c>
      <c r="W14" s="344">
        <f>'Forest(McArthur)'!S18</f>
        <v>2308.6732845399906</v>
      </c>
      <c r="X14" s="344" t="e">
        <f>'Forest(McArthur)'!AF18</f>
        <v>#NUM!</v>
      </c>
      <c r="Y14" s="344">
        <f>'Forest(VESTA)'!T23</f>
        <v>0</v>
      </c>
      <c r="Z14" s="344">
        <f>'DryForest(VESTA)'!T23</f>
        <v>0</v>
      </c>
      <c r="AA14" s="344">
        <f>'VESTA Mk2 Dry'!AB23</f>
        <v>6347.2777310786196</v>
      </c>
      <c r="AB14" s="344">
        <f>'VESTA Mk2 Wet'!AC23</f>
        <v>0</v>
      </c>
      <c r="AC14" s="345">
        <f>Grass!Z18</f>
        <v>0</v>
      </c>
      <c r="AD14" s="345">
        <f>Grass!AE18</f>
        <v>0</v>
      </c>
      <c r="AE14" s="345">
        <f>Grass!AJ18</f>
        <v>0</v>
      </c>
      <c r="AF14" s="346">
        <f>'Forest(McArthur)'!Q18</f>
        <v>6.8303646742859048</v>
      </c>
      <c r="AG14" s="346" t="e">
        <f>'Forest(McArthur)'!AD18</f>
        <v>#NUM!</v>
      </c>
      <c r="AH14" s="346">
        <f>'Forest(VESTA)'!R23</f>
        <v>0</v>
      </c>
      <c r="AI14" s="346">
        <f>'DryForest(VESTA)'!R23</f>
        <v>0</v>
      </c>
      <c r="AJ14" s="346">
        <f>'VESTA Mk2 Dry'!Z23</f>
        <v>3.6726533852249053</v>
      </c>
      <c r="AK14" s="346">
        <f>'VESTA Mk2 Wet'!AA23</f>
        <v>0</v>
      </c>
      <c r="AL14" s="346">
        <f>Grass!Y18</f>
        <v>0</v>
      </c>
      <c r="AM14" s="346">
        <f>Grass!AD18</f>
        <v>0</v>
      </c>
      <c r="AN14" s="346">
        <f>Grass!AI18</f>
        <v>0</v>
      </c>
      <c r="AO14" s="347">
        <f>'Forest(McArthur)'!R18</f>
        <v>437.82245151829159</v>
      </c>
      <c r="AP14" s="348">
        <f>'Forest(VESTA)'!S23</f>
        <v>0</v>
      </c>
      <c r="AQ14" s="348">
        <f>'DryForest(VESTA)'!S23</f>
        <v>0</v>
      </c>
    </row>
    <row r="15" spans="1:43" x14ac:dyDescent="0.25">
      <c r="A15" s="29" t="str">
        <f>Weather_Site!A22</f>
        <v>Mon</v>
      </c>
      <c r="B15" s="74">
        <f>Weather_Site!B22</f>
        <v>41281</v>
      </c>
      <c r="C15" s="75">
        <f>Weather_Site!C22</f>
        <v>0.625</v>
      </c>
      <c r="D15" s="29">
        <f>Weather_Site!D22</f>
        <v>29.2</v>
      </c>
      <c r="E15" s="29">
        <f>Weather_Site!E22</f>
        <v>44.4</v>
      </c>
      <c r="F15" s="29">
        <f>Weather_Site!F22</f>
        <v>52</v>
      </c>
      <c r="G15" s="29">
        <f>Weather_Site!G22</f>
        <v>16</v>
      </c>
      <c r="H15" s="33">
        <f>'Forest(McArthur)'!N19</f>
        <v>8.2525056990992027</v>
      </c>
      <c r="I15" s="33">
        <f>Grass!I19</f>
        <v>0</v>
      </c>
      <c r="J15" s="349">
        <f>'Forest(McArthur)'!O19</f>
        <v>237.672164134057</v>
      </c>
      <c r="K15" s="349" t="e">
        <f>'Forest(McArthur)'!AB19</f>
        <v>#NUM!</v>
      </c>
      <c r="L15" s="349">
        <f>'Forest(VESTA)'!P24</f>
        <v>0</v>
      </c>
      <c r="M15" s="349">
        <f>'DryForest(VESTA)'!P24</f>
        <v>0</v>
      </c>
      <c r="N15" s="349">
        <f>'VESTA Mk2 Dry'!Y24</f>
        <v>567.68504124308561</v>
      </c>
      <c r="O15" s="349"/>
      <c r="P15" s="349">
        <f>RedBook!AA24</f>
        <v>0</v>
      </c>
      <c r="Q15" s="350">
        <f>Grass!W19</f>
        <v>0</v>
      </c>
      <c r="R15" s="350">
        <f>Grass!AB19</f>
        <v>0</v>
      </c>
      <c r="S15" s="350">
        <f>Grass!AG19</f>
        <v>0</v>
      </c>
      <c r="T15" s="350">
        <f>Heath!L19</f>
        <v>0</v>
      </c>
      <c r="U15" s="351">
        <f>Buttongrass!M23</f>
        <v>0</v>
      </c>
      <c r="V15" s="352">
        <f>'WA Mallee'!J19</f>
        <v>0</v>
      </c>
      <c r="W15" s="344">
        <f>'Forest(McArthur)'!S19</f>
        <v>2323.2406056962363</v>
      </c>
      <c r="X15" s="344" t="e">
        <f>'Forest(McArthur)'!AF19</f>
        <v>#NUM!</v>
      </c>
      <c r="Y15" s="344">
        <f>'Forest(VESTA)'!T24</f>
        <v>0</v>
      </c>
      <c r="Z15" s="344">
        <f>'DryForest(VESTA)'!T24</f>
        <v>0</v>
      </c>
      <c r="AA15" s="344">
        <f>'VESTA Mk2 Dry'!AB24</f>
        <v>6745.9905734386675</v>
      </c>
      <c r="AB15" s="344">
        <f>'VESTA Mk2 Wet'!AC24</f>
        <v>0</v>
      </c>
      <c r="AC15" s="345">
        <f>Grass!Z19</f>
        <v>0</v>
      </c>
      <c r="AD15" s="345">
        <f>Grass!AE19</f>
        <v>0</v>
      </c>
      <c r="AE15" s="345">
        <f>Grass!AJ19</f>
        <v>0</v>
      </c>
      <c r="AF15" s="346">
        <f>'Forest(McArthur)'!Q19</f>
        <v>6.8497381337427399</v>
      </c>
      <c r="AG15" s="346" t="e">
        <f>'Forest(McArthur)'!AD19</f>
        <v>#NUM!</v>
      </c>
      <c r="AH15" s="346">
        <f>'Forest(VESTA)'!R24</f>
        <v>0</v>
      </c>
      <c r="AI15" s="346">
        <f>'DryForest(VESTA)'!R24</f>
        <v>0</v>
      </c>
      <c r="AJ15" s="346">
        <f>'VESTA Mk2 Dry'!Z24</f>
        <v>3.8380377482574439</v>
      </c>
      <c r="AK15" s="346">
        <f>'VESTA Mk2 Wet'!AA24</f>
        <v>0</v>
      </c>
      <c r="AL15" s="346">
        <f>Grass!Y19</f>
        <v>0</v>
      </c>
      <c r="AM15" s="346">
        <f>Grass!AD19</f>
        <v>0</v>
      </c>
      <c r="AN15" s="346">
        <f>Grass!AI19</f>
        <v>0</v>
      </c>
      <c r="AO15" s="347">
        <f>'Forest(McArthur)'!R19</f>
        <v>442.85657044484464</v>
      </c>
      <c r="AP15" s="348">
        <f>'Forest(VESTA)'!S24</f>
        <v>0</v>
      </c>
      <c r="AQ15" s="348">
        <f>'DryForest(VESTA)'!S24</f>
        <v>0</v>
      </c>
    </row>
    <row r="16" spans="1:43" x14ac:dyDescent="0.25">
      <c r="A16" s="29" t="str">
        <f>Weather_Site!A23</f>
        <v>Mon</v>
      </c>
      <c r="B16" s="74">
        <f>Weather_Site!B23</f>
        <v>41281</v>
      </c>
      <c r="C16" s="75">
        <f>Weather_Site!C23</f>
        <v>0.66666666666666663</v>
      </c>
      <c r="D16" s="29">
        <f>Weather_Site!D23</f>
        <v>28.2</v>
      </c>
      <c r="E16" s="29">
        <f>Weather_Site!E23</f>
        <v>48.2</v>
      </c>
      <c r="F16" s="29">
        <f>Weather_Site!F23</f>
        <v>63</v>
      </c>
      <c r="G16" s="29">
        <f>Weather_Site!G23</f>
        <v>17</v>
      </c>
      <c r="H16" s="33">
        <f>'Forest(McArthur)'!N20</f>
        <v>7.1636302836468762</v>
      </c>
      <c r="I16" s="33">
        <f>Grass!I20</f>
        <v>0</v>
      </c>
      <c r="J16" s="349">
        <f>'Forest(McArthur)'!O20</f>
        <v>206.31255216903003</v>
      </c>
      <c r="K16" s="349" t="e">
        <f>'Forest(McArthur)'!AB20</f>
        <v>#NUM!</v>
      </c>
      <c r="L16" s="349">
        <f>'Forest(VESTA)'!P25</f>
        <v>0</v>
      </c>
      <c r="M16" s="349">
        <f>'DryForest(VESTA)'!P25</f>
        <v>0</v>
      </c>
      <c r="N16" s="349">
        <f>'VESTA Mk2 Dry'!Y25</f>
        <v>565.72681370045404</v>
      </c>
      <c r="O16" s="349"/>
      <c r="P16" s="349">
        <f>RedBook!AA25</f>
        <v>0</v>
      </c>
      <c r="Q16" s="350">
        <f>Grass!W20</f>
        <v>0</v>
      </c>
      <c r="R16" s="350">
        <f>Grass!AB20</f>
        <v>0</v>
      </c>
      <c r="S16" s="350">
        <f>Grass!AG20</f>
        <v>0</v>
      </c>
      <c r="T16" s="350">
        <f>Heath!L20</f>
        <v>0</v>
      </c>
      <c r="U16" s="351">
        <f>Buttongrass!M24</f>
        <v>0</v>
      </c>
      <c r="V16" s="352">
        <f>'WA Mallee'!J20</f>
        <v>0</v>
      </c>
      <c r="W16" s="344">
        <f>'Forest(McArthur)'!S20</f>
        <v>2016.7010319035967</v>
      </c>
      <c r="X16" s="344" t="e">
        <f>'Forest(McArthur)'!AF20</f>
        <v>#NUM!</v>
      </c>
      <c r="Y16" s="344">
        <f>'Forest(VESTA)'!T25</f>
        <v>0</v>
      </c>
      <c r="Z16" s="344">
        <f>'DryForest(VESTA)'!T25</f>
        <v>0</v>
      </c>
      <c r="AA16" s="344">
        <f>'VESTA Mk2 Dry'!AB25</f>
        <v>6722.7203028070626</v>
      </c>
      <c r="AB16" s="344">
        <f>'VESTA Mk2 Wet'!AC25</f>
        <v>0</v>
      </c>
      <c r="AC16" s="345">
        <f>Grass!Z20</f>
        <v>0</v>
      </c>
      <c r="AD16" s="345">
        <f>Grass!AE20</f>
        <v>0</v>
      </c>
      <c r="AE16" s="345">
        <f>Grass!AJ20</f>
        <v>0</v>
      </c>
      <c r="AF16" s="346">
        <f>'Forest(McArthur)'!Q20</f>
        <v>6.4420631781973903</v>
      </c>
      <c r="AG16" s="346" t="e">
        <f>'Forest(McArthur)'!AD20</f>
        <v>#NUM!</v>
      </c>
      <c r="AH16" s="346">
        <f>'Forest(VESTA)'!R25</f>
        <v>0</v>
      </c>
      <c r="AI16" s="346">
        <f>'DryForest(VESTA)'!R25</f>
        <v>0</v>
      </c>
      <c r="AJ16" s="346">
        <f>'VESTA Mk2 Dry'!Z25</f>
        <v>3.8284611562546029</v>
      </c>
      <c r="AK16" s="346">
        <f>'VESTA Mk2 Wet'!AA25</f>
        <v>0</v>
      </c>
      <c r="AL16" s="346">
        <f>Grass!Y20</f>
        <v>0</v>
      </c>
      <c r="AM16" s="346">
        <f>Grass!AD20</f>
        <v>0</v>
      </c>
      <c r="AN16" s="346">
        <f>Grass!AI20</f>
        <v>0</v>
      </c>
      <c r="AO16" s="347">
        <f>'Forest(McArthur)'!R20</f>
        <v>336.92380122698341</v>
      </c>
      <c r="AP16" s="348">
        <f>'Forest(VESTA)'!S25</f>
        <v>0</v>
      </c>
      <c r="AQ16" s="348">
        <f>'DryForest(VESTA)'!S25</f>
        <v>0</v>
      </c>
    </row>
    <row r="17" spans="1:43" x14ac:dyDescent="0.25">
      <c r="A17" s="29" t="str">
        <f>Weather_Site!A24</f>
        <v>Mon</v>
      </c>
      <c r="B17" s="74">
        <f>Weather_Site!B24</f>
        <v>41281</v>
      </c>
      <c r="C17" s="75">
        <f>Weather_Site!C24</f>
        <v>0.70833333333333337</v>
      </c>
      <c r="D17" s="29">
        <f>Weather_Site!D24</f>
        <v>27</v>
      </c>
      <c r="E17" s="29">
        <f>Weather_Site!E24</f>
        <v>54.7</v>
      </c>
      <c r="F17" s="29">
        <f>Weather_Site!F24</f>
        <v>69</v>
      </c>
      <c r="G17" s="29">
        <f>Weather_Site!G24</f>
        <v>17</v>
      </c>
      <c r="H17" s="33">
        <f>'Forest(McArthur)'!N21</f>
        <v>5.4970241124074652</v>
      </c>
      <c r="I17" s="33">
        <f>Grass!I21</f>
        <v>0</v>
      </c>
      <c r="J17" s="349">
        <f>'Forest(McArthur)'!O21</f>
        <v>158.31429443733498</v>
      </c>
      <c r="K17" s="349" t="e">
        <f>'Forest(McArthur)'!AB21</f>
        <v>#NUM!</v>
      </c>
      <c r="L17" s="349">
        <f>'Forest(VESTA)'!P26</f>
        <v>0</v>
      </c>
      <c r="M17" s="349">
        <f>'DryForest(VESTA)'!P26</f>
        <v>0</v>
      </c>
      <c r="N17" s="349">
        <f>'VESTA Mk2 Dry'!Y26</f>
        <v>502.63161428378692</v>
      </c>
      <c r="O17" s="349"/>
      <c r="P17" s="349">
        <f>RedBook!AA26</f>
        <v>0</v>
      </c>
      <c r="Q17" s="350">
        <f>Grass!W21</f>
        <v>0</v>
      </c>
      <c r="R17" s="350">
        <f>Grass!AB21</f>
        <v>0</v>
      </c>
      <c r="S17" s="350">
        <f>Grass!AG21</f>
        <v>0</v>
      </c>
      <c r="T17" s="350">
        <f>Heath!L21</f>
        <v>0</v>
      </c>
      <c r="U17" s="351">
        <f>Buttongrass!M25</f>
        <v>0</v>
      </c>
      <c r="V17" s="352">
        <f>'WA Mallee'!J21</f>
        <v>0</v>
      </c>
      <c r="W17" s="344">
        <f>'Forest(McArthur)'!S21</f>
        <v>1547.5190316839571</v>
      </c>
      <c r="X17" s="344" t="e">
        <f>'Forest(McArthur)'!AF21</f>
        <v>#NUM!</v>
      </c>
      <c r="Y17" s="344">
        <f>'Forest(VESTA)'!T26</f>
        <v>0</v>
      </c>
      <c r="Z17" s="344">
        <f>'DryForest(VESTA)'!T26</f>
        <v>0</v>
      </c>
      <c r="AA17" s="344">
        <f>'VESTA Mk2 Dry'!AB26</f>
        <v>5972.9390164056686</v>
      </c>
      <c r="AB17" s="344">
        <f>'VESTA Mk2 Wet'!AC26</f>
        <v>0</v>
      </c>
      <c r="AC17" s="345">
        <f>Grass!Z21</f>
        <v>0</v>
      </c>
      <c r="AD17" s="345">
        <f>Grass!AE21</f>
        <v>0</v>
      </c>
      <c r="AE17" s="345">
        <f>Grass!AJ21</f>
        <v>0</v>
      </c>
      <c r="AF17" s="346">
        <f>'Forest(McArthur)'!Q21</f>
        <v>5.8180858276853549</v>
      </c>
      <c r="AG17" s="346" t="e">
        <f>'Forest(McArthur)'!AD21</f>
        <v>#NUM!</v>
      </c>
      <c r="AH17" s="346">
        <f>'Forest(VESTA)'!R26</f>
        <v>0</v>
      </c>
      <c r="AI17" s="346">
        <f>'DryForest(VESTA)'!R26</f>
        <v>0</v>
      </c>
      <c r="AJ17" s="346">
        <f>'VESTA Mk2 Dry'!Z26</f>
        <v>3.514739655116581</v>
      </c>
      <c r="AK17" s="346">
        <f>'VESTA Mk2 Wet'!AA26</f>
        <v>0</v>
      </c>
      <c r="AL17" s="346">
        <f>Grass!Y21</f>
        <v>0</v>
      </c>
      <c r="AM17" s="346">
        <f>Grass!AD21</f>
        <v>0</v>
      </c>
      <c r="AN17" s="346">
        <f>Grass!AI21</f>
        <v>0</v>
      </c>
      <c r="AO17" s="347">
        <f>'Forest(McArthur)'!R21</f>
        <v>174.78568660931759</v>
      </c>
      <c r="AP17" s="348">
        <f>'Forest(VESTA)'!S26</f>
        <v>0</v>
      </c>
      <c r="AQ17" s="348">
        <f>'DryForest(VESTA)'!S26</f>
        <v>0</v>
      </c>
    </row>
    <row r="18" spans="1:43" x14ac:dyDescent="0.25">
      <c r="A18" s="29" t="str">
        <f>Weather_Site!A25</f>
        <v>Mon</v>
      </c>
      <c r="B18" s="74">
        <f>Weather_Site!B25</f>
        <v>41281</v>
      </c>
      <c r="C18" s="75">
        <f>Weather_Site!C25</f>
        <v>0.75</v>
      </c>
      <c r="D18" s="29">
        <f>Weather_Site!D25</f>
        <v>25.4</v>
      </c>
      <c r="E18" s="29">
        <f>Weather_Site!E25</f>
        <v>61.7</v>
      </c>
      <c r="F18" s="29">
        <f>Weather_Site!F25</f>
        <v>66</v>
      </c>
      <c r="G18" s="29">
        <f>Weather_Site!G25</f>
        <v>17</v>
      </c>
      <c r="H18" s="33">
        <f>'Forest(McArthur)'!N22</f>
        <v>4.0903350063180675</v>
      </c>
      <c r="I18" s="33">
        <f>Grass!I22</f>
        <v>0</v>
      </c>
      <c r="J18" s="349">
        <f>'Forest(McArthur)'!O22</f>
        <v>117.80164818196032</v>
      </c>
      <c r="K18" s="349" t="e">
        <f>'Forest(McArthur)'!AB22</f>
        <v>#NUM!</v>
      </c>
      <c r="L18" s="349">
        <f>'Forest(VESTA)'!P27</f>
        <v>0</v>
      </c>
      <c r="M18" s="349">
        <f>'DryForest(VESTA)'!P27</f>
        <v>0</v>
      </c>
      <c r="N18" s="349">
        <f>'VESTA Mk2 Dry'!Y27</f>
        <v>263.88060358218365</v>
      </c>
      <c r="O18" s="349"/>
      <c r="P18" s="349">
        <f>RedBook!AA27</f>
        <v>0</v>
      </c>
      <c r="Q18" s="350">
        <f>Grass!W22</f>
        <v>0</v>
      </c>
      <c r="R18" s="350">
        <f>Grass!AB22</f>
        <v>0</v>
      </c>
      <c r="S18" s="350">
        <f>Grass!AG22</f>
        <v>0</v>
      </c>
      <c r="T18" s="350">
        <f>Heath!L22</f>
        <v>0</v>
      </c>
      <c r="U18" s="351">
        <f>Buttongrass!M26</f>
        <v>0</v>
      </c>
      <c r="V18" s="352">
        <f>'WA Mallee'!J22</f>
        <v>0</v>
      </c>
      <c r="W18" s="344">
        <f>'Forest(McArthur)'!S22</f>
        <v>1151.5087325072893</v>
      </c>
      <c r="X18" s="344" t="e">
        <f>'Forest(McArthur)'!AF22</f>
        <v>#NUM!</v>
      </c>
      <c r="Y18" s="344">
        <f>'Forest(VESTA)'!T27</f>
        <v>0</v>
      </c>
      <c r="Z18" s="344">
        <f>'DryForest(VESTA)'!T27</f>
        <v>0</v>
      </c>
      <c r="AA18" s="344">
        <f>'VESTA Mk2 Dry'!AB27</f>
        <v>3135.7811725682818</v>
      </c>
      <c r="AB18" s="344">
        <f>'VESTA Mk2 Wet'!AC27</f>
        <v>0</v>
      </c>
      <c r="AC18" s="345">
        <f>Grass!Z22</f>
        <v>0</v>
      </c>
      <c r="AD18" s="345">
        <f>Grass!AE22</f>
        <v>0</v>
      </c>
      <c r="AE18" s="345">
        <f>Grass!AJ22</f>
        <v>0</v>
      </c>
      <c r="AF18" s="346">
        <f>'Forest(McArthur)'!Q22</f>
        <v>5.291421426365484</v>
      </c>
      <c r="AG18" s="346" t="e">
        <f>'Forest(McArthur)'!AD22</f>
        <v>#NUM!</v>
      </c>
      <c r="AH18" s="346">
        <f>'Forest(VESTA)'!R27</f>
        <v>0</v>
      </c>
      <c r="AI18" s="346">
        <f>'DryForest(VESTA)'!R27</f>
        <v>0</v>
      </c>
      <c r="AJ18" s="346">
        <f>'VESTA Mk2 Dry'!Z27</f>
        <v>2.205805194120197</v>
      </c>
      <c r="AK18" s="346">
        <f>'VESTA Mk2 Wet'!AA27</f>
        <v>0</v>
      </c>
      <c r="AL18" s="346">
        <f>Grass!Y22</f>
        <v>0</v>
      </c>
      <c r="AM18" s="346">
        <f>Grass!AD22</f>
        <v>0</v>
      </c>
      <c r="AN18" s="346">
        <f>Grass!AI22</f>
        <v>0</v>
      </c>
      <c r="AO18" s="347">
        <f>'Forest(McArthur)'!R22</f>
        <v>37.933967558661962</v>
      </c>
      <c r="AP18" s="348">
        <f>'Forest(VESTA)'!S27</f>
        <v>0</v>
      </c>
      <c r="AQ18" s="348">
        <f>'DryForest(VESTA)'!S27</f>
        <v>0</v>
      </c>
    </row>
    <row r="19" spans="1:43" x14ac:dyDescent="0.25">
      <c r="A19" s="29" t="str">
        <f>Weather_Site!A26</f>
        <v>Mon</v>
      </c>
      <c r="B19" s="74">
        <f>Weather_Site!B26</f>
        <v>41281</v>
      </c>
      <c r="C19" s="75">
        <f>Weather_Site!C26</f>
        <v>0.79166666666666663</v>
      </c>
      <c r="D19" s="29">
        <f>Weather_Site!D26</f>
        <v>23.5</v>
      </c>
      <c r="E19" s="29">
        <f>Weather_Site!E26</f>
        <v>69.5</v>
      </c>
      <c r="F19" s="29">
        <f>Weather_Site!F26</f>
        <v>60</v>
      </c>
      <c r="G19" s="29">
        <f>Weather_Site!G26</f>
        <v>16</v>
      </c>
      <c r="H19" s="33">
        <f>'Forest(McArthur)'!N23</f>
        <v>2.8631055012596018</v>
      </c>
      <c r="I19" s="33">
        <f>Grass!I23</f>
        <v>0</v>
      </c>
      <c r="J19" s="349">
        <f>'Forest(McArthur)'!O23</f>
        <v>82.457438436276533</v>
      </c>
      <c r="K19" s="349" t="e">
        <f>'Forest(McArthur)'!AB23</f>
        <v>#NUM!</v>
      </c>
      <c r="L19" s="349">
        <f>'Forest(VESTA)'!P28</f>
        <v>0</v>
      </c>
      <c r="M19" s="349">
        <f>'DryForest(VESTA)'!P28</f>
        <v>0</v>
      </c>
      <c r="N19" s="349">
        <f>'VESTA Mk2 Dry'!Y28</f>
        <v>198.1804499194152</v>
      </c>
      <c r="O19" s="349"/>
      <c r="P19" s="349">
        <f>RedBook!AA28</f>
        <v>0</v>
      </c>
      <c r="Q19" s="350">
        <f>Grass!W23</f>
        <v>0</v>
      </c>
      <c r="R19" s="350">
        <f>Grass!AB23</f>
        <v>0</v>
      </c>
      <c r="S19" s="350">
        <f>Grass!AG23</f>
        <v>0</v>
      </c>
      <c r="T19" s="350">
        <f>Heath!L23</f>
        <v>0</v>
      </c>
      <c r="U19" s="351">
        <f>Buttongrass!M27</f>
        <v>0</v>
      </c>
      <c r="V19" s="352">
        <f>'WA Mallee'!J23</f>
        <v>0</v>
      </c>
      <c r="W19" s="344">
        <f>'Forest(McArthur)'!S23</f>
        <v>806.01979585965569</v>
      </c>
      <c r="X19" s="344" t="e">
        <f>'Forest(McArthur)'!AF23</f>
        <v>#NUM!</v>
      </c>
      <c r="Y19" s="344">
        <f>'Forest(VESTA)'!T28</f>
        <v>0</v>
      </c>
      <c r="Z19" s="344">
        <f>'DryForest(VESTA)'!T28</f>
        <v>0</v>
      </c>
      <c r="AA19" s="344">
        <f>'VESTA Mk2 Dry'!AB28</f>
        <v>2355.0443465423841</v>
      </c>
      <c r="AB19" s="344">
        <f>'VESTA Mk2 Wet'!AC28</f>
        <v>0</v>
      </c>
      <c r="AC19" s="345">
        <f>Grass!Z23</f>
        <v>0</v>
      </c>
      <c r="AD19" s="345">
        <f>Grass!AE23</f>
        <v>0</v>
      </c>
      <c r="AE19" s="345">
        <f>Grass!AJ23</f>
        <v>0</v>
      </c>
      <c r="AF19" s="346">
        <f>'Forest(McArthur)'!Q23</f>
        <v>4.8319466996715947</v>
      </c>
      <c r="AG19" s="346" t="e">
        <f>'Forest(McArthur)'!AD23</f>
        <v>#NUM!</v>
      </c>
      <c r="AH19" s="346">
        <f>'Forest(VESTA)'!R28</f>
        <v>0</v>
      </c>
      <c r="AI19" s="346">
        <f>'DryForest(VESTA)'!R28</f>
        <v>0</v>
      </c>
      <c r="AJ19" s="346">
        <f>'VESTA Mk2 Dry'!Z28</f>
        <v>1.7933477852022426</v>
      </c>
      <c r="AK19" s="346">
        <f>'VESTA Mk2 Wet'!AA28</f>
        <v>0</v>
      </c>
      <c r="AL19" s="346">
        <f>Grass!Y23</f>
        <v>0</v>
      </c>
      <c r="AM19" s="346">
        <f>Grass!AD23</f>
        <v>0</v>
      </c>
      <c r="AN19" s="346">
        <f>Grass!AI23</f>
        <v>0</v>
      </c>
      <c r="AO19" s="347">
        <f>'Forest(McArthur)'!R23</f>
        <v>0</v>
      </c>
      <c r="AP19" s="348">
        <f>'Forest(VESTA)'!S28</f>
        <v>0</v>
      </c>
      <c r="AQ19" s="348">
        <f>'DryForest(VESTA)'!S28</f>
        <v>0</v>
      </c>
    </row>
    <row r="20" spans="1:43" x14ac:dyDescent="0.25">
      <c r="A20" s="29" t="str">
        <f>Weather_Site!A27</f>
        <v>Mon</v>
      </c>
      <c r="B20" s="74">
        <f>Weather_Site!B27</f>
        <v>41281</v>
      </c>
      <c r="C20" s="75">
        <f>Weather_Site!C27</f>
        <v>0.83333333333333337</v>
      </c>
      <c r="D20" s="29">
        <f>Weather_Site!D27</f>
        <v>21.3</v>
      </c>
      <c r="E20" s="29">
        <f>Weather_Site!E27</f>
        <v>80</v>
      </c>
      <c r="F20" s="29">
        <f>Weather_Site!F27</f>
        <v>57</v>
      </c>
      <c r="G20" s="29">
        <f>Weather_Site!G27</f>
        <v>14</v>
      </c>
      <c r="H20" s="33">
        <f>'Forest(McArthur)'!N24</f>
        <v>1.7656111222119133</v>
      </c>
      <c r="I20" s="33">
        <f>Grass!I24</f>
        <v>0</v>
      </c>
      <c r="J20" s="349">
        <f>'Forest(McArthur)'!O24</f>
        <v>50.8496003197031</v>
      </c>
      <c r="K20" s="349" t="e">
        <f>'Forest(McArthur)'!AB24</f>
        <v>#NUM!</v>
      </c>
      <c r="L20" s="349">
        <f>'Forest(VESTA)'!P29</f>
        <v>0</v>
      </c>
      <c r="M20" s="349">
        <f>'DryForest(VESTA)'!P29</f>
        <v>0</v>
      </c>
      <c r="N20" s="349">
        <f>'VESTA Mk2 Dry'!Y29</f>
        <v>126.32505926466749</v>
      </c>
      <c r="O20" s="349"/>
      <c r="P20" s="349">
        <f>RedBook!AA29</f>
        <v>0</v>
      </c>
      <c r="Q20" s="350">
        <f>Grass!W24</f>
        <v>0</v>
      </c>
      <c r="R20" s="350">
        <f>Grass!AB24</f>
        <v>0</v>
      </c>
      <c r="S20" s="350">
        <f>Grass!AG24</f>
        <v>0</v>
      </c>
      <c r="T20" s="350">
        <f>Heath!L24</f>
        <v>0</v>
      </c>
      <c r="U20" s="351">
        <f>Buttongrass!M28</f>
        <v>0</v>
      </c>
      <c r="V20" s="352">
        <f>'WA Mallee'!J24</f>
        <v>0</v>
      </c>
      <c r="W20" s="344">
        <f>'Forest(McArthur)'!S24</f>
        <v>497.05381644745336</v>
      </c>
      <c r="X20" s="344" t="e">
        <f>'Forest(McArthur)'!AF24</f>
        <v>#NUM!</v>
      </c>
      <c r="Y20" s="344">
        <f>'Forest(VESTA)'!T29</f>
        <v>0</v>
      </c>
      <c r="Z20" s="344">
        <f>'DryForest(VESTA)'!T29</f>
        <v>0</v>
      </c>
      <c r="AA20" s="344">
        <f>'VESTA Mk2 Dry'!AB29</f>
        <v>1501.1627875951319</v>
      </c>
      <c r="AB20" s="344">
        <f>'VESTA Mk2 Wet'!AC29</f>
        <v>0</v>
      </c>
      <c r="AC20" s="345">
        <f>Grass!Z24</f>
        <v>0</v>
      </c>
      <c r="AD20" s="345">
        <f>Grass!AE24</f>
        <v>0</v>
      </c>
      <c r="AE20" s="345">
        <f>Grass!AJ24</f>
        <v>0</v>
      </c>
      <c r="AF20" s="346">
        <f>'Forest(McArthur)'!Q24</f>
        <v>4.4210448041561401</v>
      </c>
      <c r="AG20" s="346" t="e">
        <f>'Forest(McArthur)'!AD24</f>
        <v>#NUM!</v>
      </c>
      <c r="AH20" s="346">
        <f>'Forest(VESTA)'!R29</f>
        <v>0</v>
      </c>
      <c r="AI20" s="346">
        <f>'DryForest(VESTA)'!R29</f>
        <v>0</v>
      </c>
      <c r="AJ20" s="346">
        <f>'VESTA Mk2 Dry'!Z29</f>
        <v>1.2949901685838239</v>
      </c>
      <c r="AK20" s="346">
        <f>'VESTA Mk2 Wet'!AA29</f>
        <v>0</v>
      </c>
      <c r="AL20" s="346">
        <f>Grass!Y24</f>
        <v>0</v>
      </c>
      <c r="AM20" s="346">
        <f>Grass!AD24</f>
        <v>0</v>
      </c>
      <c r="AN20" s="346">
        <f>Grass!AI24</f>
        <v>0</v>
      </c>
      <c r="AO20" s="347">
        <f>'Forest(McArthur)'!R24</f>
        <v>0</v>
      </c>
      <c r="AP20" s="348">
        <f>'Forest(VESTA)'!S29</f>
        <v>0</v>
      </c>
      <c r="AQ20" s="348">
        <f>'DryForest(VESTA)'!S29</f>
        <v>0</v>
      </c>
    </row>
    <row r="21" spans="1:43" x14ac:dyDescent="0.25">
      <c r="A21" s="29" t="str">
        <f>Weather_Site!A28</f>
        <v>Mon</v>
      </c>
      <c r="B21" s="74">
        <f>Weather_Site!B28</f>
        <v>41281</v>
      </c>
      <c r="C21" s="75">
        <f>Weather_Site!C28</f>
        <v>0.875</v>
      </c>
      <c r="D21" s="29">
        <f>Weather_Site!D28</f>
        <v>20.100000000000001</v>
      </c>
      <c r="E21" s="29">
        <f>Weather_Site!E28</f>
        <v>86.1</v>
      </c>
      <c r="F21" s="29">
        <f>Weather_Site!F28</f>
        <v>40</v>
      </c>
      <c r="G21" s="29">
        <f>Weather_Site!G28</f>
        <v>12</v>
      </c>
      <c r="H21" s="33">
        <f>'Forest(McArthur)'!N25</f>
        <v>1.3108645420948664</v>
      </c>
      <c r="I21" s="33">
        <f>Grass!I25</f>
        <v>0</v>
      </c>
      <c r="J21" s="349">
        <f>'Forest(McArthur)'!O25</f>
        <v>37.752898812332155</v>
      </c>
      <c r="K21" s="349" t="e">
        <f>'Forest(McArthur)'!AB25</f>
        <v>#NUM!</v>
      </c>
      <c r="L21" s="349">
        <f>'Forest(VESTA)'!P30</f>
        <v>0</v>
      </c>
      <c r="M21" s="349">
        <f>'DryForest(VESTA)'!P30</f>
        <v>0</v>
      </c>
      <c r="N21" s="349">
        <f>'VESTA Mk2 Dry'!Y30</f>
        <v>103.79795562106396</v>
      </c>
      <c r="O21" s="349"/>
      <c r="P21" s="349">
        <f>RedBook!AA30</f>
        <v>0</v>
      </c>
      <c r="Q21" s="350">
        <f>Grass!W25</f>
        <v>0</v>
      </c>
      <c r="R21" s="350">
        <f>Grass!AB25</f>
        <v>0</v>
      </c>
      <c r="S21" s="350">
        <f>Grass!AG25</f>
        <v>0</v>
      </c>
      <c r="T21" s="350">
        <f>Heath!L25</f>
        <v>0</v>
      </c>
      <c r="U21" s="351">
        <f>Buttongrass!M29</f>
        <v>0</v>
      </c>
      <c r="V21" s="352">
        <f>'WA Mallee'!J25</f>
        <v>0</v>
      </c>
      <c r="W21" s="344">
        <f>'Forest(McArthur)'!S25</f>
        <v>369.03382364154231</v>
      </c>
      <c r="X21" s="344" t="e">
        <f>'Forest(McArthur)'!AF25</f>
        <v>#NUM!</v>
      </c>
      <c r="Y21" s="344">
        <f>'Forest(VESTA)'!T30</f>
        <v>0</v>
      </c>
      <c r="Z21" s="344">
        <f>'DryForest(VESTA)'!T30</f>
        <v>0</v>
      </c>
      <c r="AA21" s="344">
        <f>'VESTA Mk2 Dry'!AB30</f>
        <v>1233.4657059636434</v>
      </c>
      <c r="AB21" s="344">
        <f>'VESTA Mk2 Wet'!AC30</f>
        <v>0</v>
      </c>
      <c r="AC21" s="345">
        <f>Grass!Z25</f>
        <v>0</v>
      </c>
      <c r="AD21" s="345">
        <f>Grass!AE25</f>
        <v>0</v>
      </c>
      <c r="AE21" s="345">
        <f>Grass!AJ25</f>
        <v>0</v>
      </c>
      <c r="AF21" s="346">
        <f>'Forest(McArthur)'!Q25</f>
        <v>4.2507876845603176</v>
      </c>
      <c r="AG21" s="346" t="e">
        <f>'Forest(McArthur)'!AD25</f>
        <v>#NUM!</v>
      </c>
      <c r="AH21" s="346">
        <f>'Forest(VESTA)'!R30</f>
        <v>0</v>
      </c>
      <c r="AI21" s="346">
        <f>'DryForest(VESTA)'!R30</f>
        <v>0</v>
      </c>
      <c r="AJ21" s="346">
        <f>'VESTA Mk2 Dry'!Z30</f>
        <v>1.1235542772689833</v>
      </c>
      <c r="AK21" s="346">
        <f>'VESTA Mk2 Wet'!AA30</f>
        <v>0</v>
      </c>
      <c r="AL21" s="346">
        <f>Grass!Y25</f>
        <v>0</v>
      </c>
      <c r="AM21" s="346">
        <f>Grass!AD25</f>
        <v>0</v>
      </c>
      <c r="AN21" s="346">
        <f>Grass!AI25</f>
        <v>0</v>
      </c>
      <c r="AO21" s="347">
        <f>'Forest(McArthur)'!R25</f>
        <v>0</v>
      </c>
      <c r="AP21" s="348">
        <f>'Forest(VESTA)'!S30</f>
        <v>0</v>
      </c>
      <c r="AQ21" s="348">
        <f>'DryForest(VESTA)'!S30</f>
        <v>0</v>
      </c>
    </row>
    <row r="22" spans="1:43" x14ac:dyDescent="0.25">
      <c r="A22" s="29" t="str">
        <f>Weather_Site!A29</f>
        <v>Mon</v>
      </c>
      <c r="B22" s="74">
        <f>Weather_Site!B29</f>
        <v>41281</v>
      </c>
      <c r="C22" s="75">
        <f>Weather_Site!C29</f>
        <v>0.91666666666666663</v>
      </c>
      <c r="D22" s="29">
        <f>Weather_Site!D29</f>
        <v>19.899999999999999</v>
      </c>
      <c r="E22" s="29">
        <f>Weather_Site!E29</f>
        <v>86.6</v>
      </c>
      <c r="F22" s="29">
        <f>Weather_Site!F29</f>
        <v>7</v>
      </c>
      <c r="G22" s="29">
        <f>Weather_Site!G29</f>
        <v>10</v>
      </c>
      <c r="H22" s="33">
        <f>'Forest(McArthur)'!N26</f>
        <v>0</v>
      </c>
      <c r="I22" s="33">
        <f>Grass!I26</f>
        <v>0</v>
      </c>
      <c r="J22" s="349">
        <f>'Forest(McArthur)'!O26</f>
        <v>0</v>
      </c>
      <c r="K22" s="349">
        <f>'Forest(McArthur)'!AB26</f>
        <v>0</v>
      </c>
      <c r="L22" s="349">
        <f>'Forest(VESTA)'!P31</f>
        <v>0</v>
      </c>
      <c r="M22" s="349">
        <f>'DryForest(VESTA)'!P31</f>
        <v>0</v>
      </c>
      <c r="N22" s="349">
        <f>'VESTA Mk2 Dry'!Y31</f>
        <v>84.119001356669983</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0</v>
      </c>
      <c r="Z22" s="344">
        <f>'DryForest(VESTA)'!T31</f>
        <v>0</v>
      </c>
      <c r="AA22" s="344">
        <f>'VESTA Mk2 Dry'!AB31</f>
        <v>999.61413278842826</v>
      </c>
      <c r="AB22" s="344">
        <f>'VESTA Mk2 Wet'!AC31</f>
        <v>0</v>
      </c>
      <c r="AC22" s="345">
        <f>Grass!Z26</f>
        <v>0</v>
      </c>
      <c r="AD22" s="345">
        <f>Grass!AE26</f>
        <v>0</v>
      </c>
      <c r="AE22" s="345">
        <f>Grass!AJ26</f>
        <v>0</v>
      </c>
      <c r="AF22" s="346">
        <f>'Forest(McArthur)'!Q26</f>
        <v>0</v>
      </c>
      <c r="AG22" s="346">
        <f>'Forest(McArthur)'!AD26</f>
        <v>0</v>
      </c>
      <c r="AH22" s="346">
        <f>'Forest(VESTA)'!R31</f>
        <v>0</v>
      </c>
      <c r="AI22" s="346">
        <f>'DryForest(VESTA)'!R31</f>
        <v>0</v>
      </c>
      <c r="AJ22" s="346">
        <f>'VESTA Mk2 Dry'!Z31</f>
        <v>0.96513484447382136</v>
      </c>
      <c r="AK22" s="346">
        <f>'VESTA Mk2 Wet'!AA31</f>
        <v>0</v>
      </c>
      <c r="AL22" s="346">
        <f>Grass!Y26</f>
        <v>0</v>
      </c>
      <c r="AM22" s="346">
        <f>Grass!AD26</f>
        <v>0</v>
      </c>
      <c r="AN22" s="346">
        <f>Grass!AI26</f>
        <v>0</v>
      </c>
      <c r="AO22" s="347">
        <f>'Forest(McArthur)'!R26</f>
        <v>0</v>
      </c>
      <c r="AP22" s="348">
        <f>'Forest(VESTA)'!S31</f>
        <v>0</v>
      </c>
      <c r="AQ22" s="348">
        <f>'DryForest(VESTA)'!S31</f>
        <v>0</v>
      </c>
    </row>
    <row r="23" spans="1:43" x14ac:dyDescent="0.25">
      <c r="A23" s="29" t="str">
        <f>Weather_Site!A30</f>
        <v>Mon</v>
      </c>
      <c r="B23" s="74">
        <f>Weather_Site!B30</f>
        <v>41281</v>
      </c>
      <c r="C23" s="75">
        <f>Weather_Site!C30</f>
        <v>0.95833333333333337</v>
      </c>
      <c r="D23" s="29">
        <f>Weather_Site!D30</f>
        <v>20</v>
      </c>
      <c r="E23" s="29">
        <f>Weather_Site!E30</f>
        <v>85.6</v>
      </c>
      <c r="F23" s="29">
        <f>Weather_Site!F30</f>
        <v>350</v>
      </c>
      <c r="G23" s="29">
        <f>Weather_Site!G30</f>
        <v>8</v>
      </c>
      <c r="H23" s="33">
        <f>'Forest(McArthur)'!N27</f>
        <v>0</v>
      </c>
      <c r="I23" s="33">
        <f>Grass!I27</f>
        <v>0</v>
      </c>
      <c r="J23" s="349">
        <f>'Forest(McArthur)'!O27</f>
        <v>0</v>
      </c>
      <c r="K23" s="349">
        <f>'Forest(McArthur)'!AB27</f>
        <v>0</v>
      </c>
      <c r="L23" s="349">
        <f>'Forest(VESTA)'!P32</f>
        <v>0</v>
      </c>
      <c r="M23" s="349">
        <f>'DryForest(VESTA)'!P32</f>
        <v>0</v>
      </c>
      <c r="N23" s="349">
        <f>'VESTA Mk2 Dry'!Y32</f>
        <v>64.030361045455706</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0</v>
      </c>
      <c r="Z23" s="344">
        <f>'DryForest(VESTA)'!T32</f>
        <v>0</v>
      </c>
      <c r="AA23" s="344">
        <f>'VESTA Mk2 Dry'!AB32</f>
        <v>760.89412375683207</v>
      </c>
      <c r="AB23" s="344">
        <f>'VESTA Mk2 Wet'!AC32</f>
        <v>0</v>
      </c>
      <c r="AC23" s="345">
        <f>Grass!Z27</f>
        <v>0</v>
      </c>
      <c r="AD23" s="345">
        <f>Grass!AE27</f>
        <v>0</v>
      </c>
      <c r="AE23" s="345">
        <f>Grass!AJ27</f>
        <v>0</v>
      </c>
      <c r="AF23" s="346">
        <f>'Forest(McArthur)'!Q27</f>
        <v>0</v>
      </c>
      <c r="AG23" s="346">
        <f>'Forest(McArthur)'!AD27</f>
        <v>0</v>
      </c>
      <c r="AH23" s="346">
        <f>'Forest(VESTA)'!R32</f>
        <v>0</v>
      </c>
      <c r="AI23" s="346">
        <f>'DryForest(VESTA)'!R32</f>
        <v>0</v>
      </c>
      <c r="AJ23" s="346">
        <f>'VESTA Mk2 Dry'!Z32</f>
        <v>0.79233090766256387</v>
      </c>
      <c r="AK23" s="346">
        <f>'VESTA Mk2 Wet'!AA32</f>
        <v>0</v>
      </c>
      <c r="AL23" s="346">
        <f>Grass!Y27</f>
        <v>0</v>
      </c>
      <c r="AM23" s="346">
        <f>Grass!AD27</f>
        <v>0</v>
      </c>
      <c r="AN23" s="346">
        <f>Grass!AI27</f>
        <v>0</v>
      </c>
      <c r="AO23" s="347">
        <f>'Forest(McArthur)'!R27</f>
        <v>0</v>
      </c>
      <c r="AP23" s="348">
        <f>'Forest(VESTA)'!S32</f>
        <v>0</v>
      </c>
      <c r="AQ23" s="348">
        <f>'DryForest(VESTA)'!S32</f>
        <v>0</v>
      </c>
    </row>
    <row r="24" spans="1:43" x14ac:dyDescent="0.25">
      <c r="A24" s="29" t="str">
        <f>Weather_Site!A31</f>
        <v>Tue</v>
      </c>
      <c r="B24" s="74">
        <f>Weather_Site!B31</f>
        <v>41282</v>
      </c>
      <c r="C24" s="75">
        <f>Weather_Site!C31</f>
        <v>0</v>
      </c>
      <c r="D24" s="29">
        <f>Weather_Site!D31</f>
        <v>20.3</v>
      </c>
      <c r="E24" s="29">
        <f>Weather_Site!E31</f>
        <v>81.900000000000006</v>
      </c>
      <c r="F24" s="29">
        <f>Weather_Site!F31</f>
        <v>345</v>
      </c>
      <c r="G24" s="29">
        <f>Weather_Site!G31</f>
        <v>7</v>
      </c>
      <c r="H24" s="33">
        <f>'Forest(McArthur)'!N28</f>
        <v>0</v>
      </c>
      <c r="I24" s="33">
        <f>Grass!I28</f>
        <v>0</v>
      </c>
      <c r="J24" s="349">
        <f>'Forest(McArthur)'!O28</f>
        <v>0</v>
      </c>
      <c r="K24" s="349">
        <f>'Forest(McArthur)'!AB28</f>
        <v>0</v>
      </c>
      <c r="L24" s="349">
        <f>'Forest(VESTA)'!P33</f>
        <v>0</v>
      </c>
      <c r="M24" s="349">
        <f>'DryForest(VESTA)'!P33</f>
        <v>0</v>
      </c>
      <c r="N24" s="349">
        <f>'VESTA Mk2 Dry'!Y33</f>
        <v>54.1671517477523</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0</v>
      </c>
      <c r="Z24" s="344">
        <f>'DryForest(VESTA)'!T33</f>
        <v>0</v>
      </c>
      <c r="AA24" s="344">
        <f>'VESTA Mk2 Dry'!AB33</f>
        <v>643.68631993578981</v>
      </c>
      <c r="AB24" s="344">
        <f>'VESTA Mk2 Wet'!AC33</f>
        <v>0</v>
      </c>
      <c r="AC24" s="345">
        <f>Grass!Z28</f>
        <v>0</v>
      </c>
      <c r="AD24" s="345">
        <f>Grass!AE28</f>
        <v>0</v>
      </c>
      <c r="AE24" s="345">
        <f>Grass!AJ28</f>
        <v>0</v>
      </c>
      <c r="AF24" s="346">
        <f>'Forest(McArthur)'!Q28</f>
        <v>0</v>
      </c>
      <c r="AG24" s="346">
        <f>'Forest(McArthur)'!AD28</f>
        <v>0</v>
      </c>
      <c r="AH24" s="346">
        <f>'Forest(VESTA)'!R33</f>
        <v>0</v>
      </c>
      <c r="AI24" s="346">
        <f>'DryForest(VESTA)'!R33</f>
        <v>0</v>
      </c>
      <c r="AJ24" s="346">
        <f>'VESTA Mk2 Dry'!Z33</f>
        <v>0.70207043211505493</v>
      </c>
      <c r="AK24" s="346">
        <f>'VESTA Mk2 Wet'!AA33</f>
        <v>0</v>
      </c>
      <c r="AL24" s="346">
        <f>Grass!Y28</f>
        <v>0</v>
      </c>
      <c r="AM24" s="346">
        <f>Grass!AD28</f>
        <v>0</v>
      </c>
      <c r="AN24" s="346">
        <f>Grass!AI28</f>
        <v>0</v>
      </c>
      <c r="AO24" s="347">
        <f>'Forest(McArthur)'!R28</f>
        <v>0</v>
      </c>
      <c r="AP24" s="348">
        <f>'Forest(VESTA)'!S33</f>
        <v>0</v>
      </c>
      <c r="AQ24" s="348">
        <f>'DryForest(VESTA)'!S33</f>
        <v>0</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50" t="s">
        <v>809</v>
      </c>
      <c r="F32" s="750"/>
      <c r="G32" s="750"/>
    </row>
    <row r="33" spans="1:7" x14ac:dyDescent="0.3">
      <c r="A33" s="459" t="s">
        <v>21</v>
      </c>
      <c r="B33" s="460">
        <v>450</v>
      </c>
      <c r="C33" s="460">
        <v>5</v>
      </c>
      <c r="D33" s="460">
        <v>20</v>
      </c>
      <c r="E33" s="751" t="s">
        <v>787</v>
      </c>
      <c r="F33" s="751"/>
      <c r="G33" s="751"/>
    </row>
    <row r="34" spans="1:7" ht="18" x14ac:dyDescent="0.3">
      <c r="A34" s="466" t="s">
        <v>791</v>
      </c>
      <c r="B34" s="467">
        <f>C34*IF(E34="1400L Medium Helicopter",(360/D34*5),IF(E34="2500L Fixed-wing",(140/D34*30),0))</f>
        <v>420</v>
      </c>
      <c r="C34" s="468">
        <v>2</v>
      </c>
      <c r="D34" s="468">
        <v>20</v>
      </c>
      <c r="E34" s="752" t="s">
        <v>793</v>
      </c>
      <c r="F34" s="752"/>
      <c r="G34" s="752"/>
    </row>
    <row r="35" spans="1:7" ht="18" x14ac:dyDescent="0.3">
      <c r="A35" s="466" t="s">
        <v>791</v>
      </c>
      <c r="B35" s="467">
        <f>C35*IF(E35="1400L Medium Helicopter",(360/D35*5),IF(E35="2500L Fixed-wing",(140/D35*30),0))</f>
        <v>180</v>
      </c>
      <c r="C35" s="468">
        <v>1</v>
      </c>
      <c r="D35" s="468">
        <v>10</v>
      </c>
      <c r="E35" s="752" t="s">
        <v>787</v>
      </c>
      <c r="F35" s="752"/>
      <c r="G35" s="752"/>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41281.208333333336</v>
      </c>
      <c r="B2">
        <f>Weather_Site!D12</f>
        <v>17.5</v>
      </c>
      <c r="C2">
        <f>Weather_Site!E12</f>
        <v>93.9</v>
      </c>
      <c r="D2">
        <f>Weather_Site!F12</f>
        <v>168</v>
      </c>
      <c r="E2">
        <f>Weather_Site!G12</f>
        <v>5</v>
      </c>
      <c r="F2">
        <f>'Forest(McArthur)'!M9</f>
        <v>10</v>
      </c>
      <c r="G2">
        <f>Grass!$C$4</f>
        <v>85</v>
      </c>
      <c r="H2">
        <v>0</v>
      </c>
    </row>
    <row r="3" spans="1:8" x14ac:dyDescent="0.25">
      <c r="A3" s="230">
        <f>Weather_Site!B13+Weather_Site!C13</f>
        <v>41281.25</v>
      </c>
      <c r="B3">
        <f>Weather_Site!D13</f>
        <v>17.5</v>
      </c>
      <c r="C3">
        <f>Weather_Site!E13</f>
        <v>94.5</v>
      </c>
      <c r="D3">
        <f>Weather_Site!F13</f>
        <v>166</v>
      </c>
      <c r="E3">
        <f>Weather_Site!G13</f>
        <v>3</v>
      </c>
      <c r="F3">
        <f>'Forest(McArthur)'!M10</f>
        <v>10</v>
      </c>
      <c r="G3">
        <f>Grass!$C$4</f>
        <v>85</v>
      </c>
      <c r="H3">
        <v>0</v>
      </c>
    </row>
    <row r="4" spans="1:8" x14ac:dyDescent="0.25">
      <c r="A4" s="230">
        <f>Weather_Site!B14+Weather_Site!C14</f>
        <v>41281.291666666664</v>
      </c>
      <c r="B4">
        <f>Weather_Site!D14</f>
        <v>17.7</v>
      </c>
      <c r="C4">
        <f>Weather_Site!E14</f>
        <v>92.7</v>
      </c>
      <c r="D4">
        <f>Weather_Site!F14</f>
        <v>162</v>
      </c>
      <c r="E4">
        <f>Weather_Site!G14</f>
        <v>2</v>
      </c>
      <c r="F4">
        <f>'Forest(McArthur)'!M11</f>
        <v>10</v>
      </c>
      <c r="G4">
        <f>Grass!$C$4</f>
        <v>85</v>
      </c>
      <c r="H4">
        <v>0</v>
      </c>
    </row>
    <row r="5" spans="1:8" x14ac:dyDescent="0.25">
      <c r="A5" s="230">
        <f>Weather_Site!B15+Weather_Site!C15</f>
        <v>41281.333333333336</v>
      </c>
      <c r="B5">
        <f>Weather_Site!D15</f>
        <v>18.399999999999999</v>
      </c>
      <c r="C5">
        <f>Weather_Site!E15</f>
        <v>87</v>
      </c>
      <c r="D5">
        <f>Weather_Site!F15</f>
        <v>160</v>
      </c>
      <c r="E5">
        <f>Weather_Site!G15</f>
        <v>2</v>
      </c>
      <c r="F5">
        <f>'Forest(McArthur)'!M12</f>
        <v>6.3278138802666488</v>
      </c>
      <c r="G5">
        <f>Grass!$C$4</f>
        <v>85</v>
      </c>
      <c r="H5">
        <v>0</v>
      </c>
    </row>
    <row r="6" spans="1:8" x14ac:dyDescent="0.25">
      <c r="A6" s="230">
        <f>Weather_Site!B16+Weather_Site!C16</f>
        <v>41281.375</v>
      </c>
      <c r="B6">
        <f>Weather_Site!D16</f>
        <v>19.8</v>
      </c>
      <c r="C6">
        <f>Weather_Site!E16</f>
        <v>78.3</v>
      </c>
      <c r="D6">
        <f>Weather_Site!F16</f>
        <v>123</v>
      </c>
      <c r="E6">
        <f>Weather_Site!G16</f>
        <v>4</v>
      </c>
      <c r="F6">
        <f>'Forest(McArthur)'!M13</f>
        <v>4.1167249825052483</v>
      </c>
      <c r="G6">
        <f>Grass!$C$4</f>
        <v>85</v>
      </c>
      <c r="H6">
        <v>0</v>
      </c>
    </row>
    <row r="7" spans="1:8" x14ac:dyDescent="0.25">
      <c r="A7" s="230">
        <f>Weather_Site!B17+Weather_Site!C17</f>
        <v>41281.416666666664</v>
      </c>
      <c r="B7">
        <f>Weather_Site!D17</f>
        <v>21.7</v>
      </c>
      <c r="C7">
        <f>Weather_Site!E17</f>
        <v>69.599999999999994</v>
      </c>
      <c r="D7">
        <f>Weather_Site!F17</f>
        <v>51</v>
      </c>
      <c r="E7">
        <f>Weather_Site!G17</f>
        <v>6</v>
      </c>
      <c r="F7">
        <f>'Forest(McArthur)'!M14</f>
        <v>7.882539682539683</v>
      </c>
      <c r="G7">
        <f>Grass!$C$4</f>
        <v>85</v>
      </c>
      <c r="H7">
        <v>0</v>
      </c>
    </row>
    <row r="8" spans="1:8" x14ac:dyDescent="0.25">
      <c r="A8" s="230">
        <f>Weather_Site!B18+Weather_Site!C18</f>
        <v>41281.458333333336</v>
      </c>
      <c r="B8">
        <f>Weather_Site!D18</f>
        <v>23.6</v>
      </c>
      <c r="C8">
        <f>Weather_Site!E18</f>
        <v>62.1</v>
      </c>
      <c r="D8">
        <f>Weather_Site!F18</f>
        <v>14</v>
      </c>
      <c r="E8">
        <f>Weather_Site!G18</f>
        <v>9</v>
      </c>
      <c r="F8">
        <f>'Forest(McArthur)'!M15</f>
        <v>7.882539682539683</v>
      </c>
      <c r="G8">
        <f>Grass!$C$4</f>
        <v>85</v>
      </c>
      <c r="H8">
        <v>0</v>
      </c>
    </row>
    <row r="9" spans="1:8" x14ac:dyDescent="0.25">
      <c r="A9" s="230">
        <f>Weather_Site!B19+Weather_Site!C19</f>
        <v>41281.5</v>
      </c>
      <c r="B9">
        <f>Weather_Site!D19</f>
        <v>25.7</v>
      </c>
      <c r="C9">
        <f>Weather_Site!E19</f>
        <v>55.1</v>
      </c>
      <c r="D9">
        <f>Weather_Site!F19</f>
        <v>23</v>
      </c>
      <c r="E9">
        <f>Weather_Site!G19</f>
        <v>11</v>
      </c>
      <c r="F9">
        <f>'Forest(McArthur)'!M16</f>
        <v>7.882539682539683</v>
      </c>
      <c r="G9">
        <f>Grass!$C$4</f>
        <v>85</v>
      </c>
      <c r="H9">
        <v>0</v>
      </c>
    </row>
    <row r="10" spans="1:8" x14ac:dyDescent="0.25">
      <c r="A10" s="230">
        <f>Weather_Site!B20+Weather_Site!C20</f>
        <v>41281.541666666664</v>
      </c>
      <c r="B10">
        <f>Weather_Site!D20</f>
        <v>27.8</v>
      </c>
      <c r="C10">
        <f>Weather_Site!E20</f>
        <v>48.7</v>
      </c>
      <c r="D10">
        <f>Weather_Site!F20</f>
        <v>39</v>
      </c>
      <c r="E10">
        <f>Weather_Site!G20</f>
        <v>13</v>
      </c>
      <c r="F10">
        <f>'Forest(McArthur)'!M17</f>
        <v>7.882539682539683</v>
      </c>
      <c r="G10">
        <f>Grass!$C$4</f>
        <v>85</v>
      </c>
      <c r="H10">
        <v>0</v>
      </c>
    </row>
    <row r="11" spans="1:8" x14ac:dyDescent="0.25">
      <c r="A11" s="230">
        <f>Weather_Site!B21+Weather_Site!C21</f>
        <v>41281.583333333336</v>
      </c>
      <c r="B11">
        <f>Weather_Site!D21</f>
        <v>29.4</v>
      </c>
      <c r="C11">
        <f>Weather_Site!E21</f>
        <v>44.1</v>
      </c>
      <c r="D11">
        <f>Weather_Site!F21</f>
        <v>47</v>
      </c>
      <c r="E11">
        <f>Weather_Site!G21</f>
        <v>15</v>
      </c>
      <c r="F11">
        <f>'Forest(McArthur)'!M18</f>
        <v>7.882539682539683</v>
      </c>
      <c r="G11">
        <f>Grass!$C$4</f>
        <v>85</v>
      </c>
      <c r="H11">
        <v>0</v>
      </c>
    </row>
    <row r="12" spans="1:8" x14ac:dyDescent="0.25">
      <c r="A12" s="230">
        <f>Weather_Site!B22+Weather_Site!C22</f>
        <v>41281.625</v>
      </c>
      <c r="B12">
        <f>Weather_Site!D22</f>
        <v>29.2</v>
      </c>
      <c r="C12">
        <f>Weather_Site!E22</f>
        <v>44.4</v>
      </c>
      <c r="D12">
        <f>Weather_Site!F22</f>
        <v>52</v>
      </c>
      <c r="E12">
        <f>Weather_Site!G22</f>
        <v>16</v>
      </c>
      <c r="F12">
        <f>'Forest(McArthur)'!M19</f>
        <v>7.882539682539683</v>
      </c>
      <c r="G12">
        <f>Grass!$C$4</f>
        <v>85</v>
      </c>
      <c r="H12">
        <v>0</v>
      </c>
    </row>
    <row r="13" spans="1:8" x14ac:dyDescent="0.25">
      <c r="A13" s="230">
        <f>Weather_Site!B23+Weather_Site!C23</f>
        <v>41281.666666666664</v>
      </c>
      <c r="B13">
        <f>Weather_Site!D23</f>
        <v>28.2</v>
      </c>
      <c r="C13">
        <f>Weather_Site!E23</f>
        <v>48.2</v>
      </c>
      <c r="D13">
        <f>Weather_Site!F23</f>
        <v>63</v>
      </c>
      <c r="E13">
        <f>Weather_Site!G23</f>
        <v>17</v>
      </c>
      <c r="F13">
        <f>'Forest(McArthur)'!M20</f>
        <v>7.882539682539683</v>
      </c>
      <c r="G13">
        <f>Grass!$C$4</f>
        <v>85</v>
      </c>
      <c r="H13">
        <v>0</v>
      </c>
    </row>
    <row r="14" spans="1:8" x14ac:dyDescent="0.25">
      <c r="A14" s="230">
        <f>Weather_Site!B24+Weather_Site!C24</f>
        <v>41281.708333333336</v>
      </c>
      <c r="B14">
        <f>Weather_Site!D24</f>
        <v>27</v>
      </c>
      <c r="C14">
        <f>Weather_Site!E24</f>
        <v>54.7</v>
      </c>
      <c r="D14">
        <f>Weather_Site!F24</f>
        <v>69</v>
      </c>
      <c r="E14">
        <f>Weather_Site!G24</f>
        <v>17</v>
      </c>
      <c r="F14">
        <f>'Forest(McArthur)'!M21</f>
        <v>7.882539682539683</v>
      </c>
      <c r="G14">
        <f>Grass!$C$4</f>
        <v>85</v>
      </c>
      <c r="H14">
        <v>0</v>
      </c>
    </row>
    <row r="15" spans="1:8" x14ac:dyDescent="0.25">
      <c r="A15" s="230">
        <f>Weather_Site!B25+Weather_Site!C25</f>
        <v>41281.75</v>
      </c>
      <c r="B15">
        <f>Weather_Site!D25</f>
        <v>25.4</v>
      </c>
      <c r="C15">
        <f>Weather_Site!E25</f>
        <v>61.7</v>
      </c>
      <c r="D15">
        <f>Weather_Site!F25</f>
        <v>66</v>
      </c>
      <c r="E15">
        <f>Weather_Site!G25</f>
        <v>17</v>
      </c>
      <c r="F15">
        <f>'Forest(McArthur)'!M22</f>
        <v>7.882539682539683</v>
      </c>
      <c r="G15">
        <f>Grass!$C$4</f>
        <v>85</v>
      </c>
      <c r="H15">
        <v>0</v>
      </c>
    </row>
    <row r="16" spans="1:8" x14ac:dyDescent="0.25">
      <c r="A16" s="230">
        <f>Weather_Site!B26+Weather_Site!C26</f>
        <v>41281.791666666664</v>
      </c>
      <c r="B16">
        <f>Weather_Site!D26</f>
        <v>23.5</v>
      </c>
      <c r="C16">
        <f>Weather_Site!E26</f>
        <v>69.5</v>
      </c>
      <c r="D16">
        <f>Weather_Site!F26</f>
        <v>60</v>
      </c>
      <c r="E16">
        <f>Weather_Site!G26</f>
        <v>16</v>
      </c>
      <c r="F16">
        <f>'Forest(McArthur)'!M23</f>
        <v>7.882539682539683</v>
      </c>
      <c r="G16">
        <f>Grass!$C$4</f>
        <v>85</v>
      </c>
      <c r="H16">
        <v>0</v>
      </c>
    </row>
    <row r="17" spans="1:8" x14ac:dyDescent="0.25">
      <c r="A17" s="230">
        <f>Weather_Site!B27+Weather_Site!C27</f>
        <v>41281.833333333336</v>
      </c>
      <c r="B17">
        <f>Weather_Site!D27</f>
        <v>21.3</v>
      </c>
      <c r="C17">
        <f>Weather_Site!E27</f>
        <v>80</v>
      </c>
      <c r="D17">
        <f>Weather_Site!F27</f>
        <v>57</v>
      </c>
      <c r="E17">
        <f>Weather_Site!G27</f>
        <v>14</v>
      </c>
      <c r="F17">
        <f>'Forest(McArthur)'!M24</f>
        <v>7.882539682539683</v>
      </c>
      <c r="G17">
        <f>Grass!$C$4</f>
        <v>85</v>
      </c>
      <c r="H17">
        <v>0</v>
      </c>
    </row>
    <row r="18" spans="1:8" x14ac:dyDescent="0.25">
      <c r="A18" s="230">
        <f>Weather_Site!B28+Weather_Site!C28</f>
        <v>41281.875</v>
      </c>
      <c r="B18">
        <f>Weather_Site!D28</f>
        <v>20.100000000000001</v>
      </c>
      <c r="C18">
        <f>Weather_Site!E28</f>
        <v>86.1</v>
      </c>
      <c r="D18">
        <f>Weather_Site!F28</f>
        <v>40</v>
      </c>
      <c r="E18">
        <f>Weather_Site!G28</f>
        <v>12</v>
      </c>
      <c r="F18">
        <f>'Forest(McArthur)'!M25</f>
        <v>7.882539682539683</v>
      </c>
      <c r="G18">
        <f>Grass!$C$4</f>
        <v>85</v>
      </c>
      <c r="H18">
        <v>0</v>
      </c>
    </row>
    <row r="19" spans="1:8" x14ac:dyDescent="0.25">
      <c r="A19" s="230">
        <f>Weather_Site!B29+Weather_Site!C29</f>
        <v>41281.916666666664</v>
      </c>
      <c r="B19">
        <f>Weather_Site!D29</f>
        <v>19.899999999999999</v>
      </c>
      <c r="C19">
        <f>Weather_Site!E29</f>
        <v>86.6</v>
      </c>
      <c r="D19">
        <f>Weather_Site!F29</f>
        <v>7</v>
      </c>
      <c r="E19">
        <f>Weather_Site!G29</f>
        <v>10</v>
      </c>
      <c r="F19">
        <f>'Forest(McArthur)'!M26</f>
        <v>0</v>
      </c>
      <c r="G19">
        <f>Grass!$C$4</f>
        <v>85</v>
      </c>
      <c r="H19">
        <v>0</v>
      </c>
    </row>
    <row r="20" spans="1:8" x14ac:dyDescent="0.25">
      <c r="A20" s="230">
        <f>Weather_Site!B30+Weather_Site!C30</f>
        <v>41281.958333333336</v>
      </c>
      <c r="B20">
        <f>Weather_Site!D30</f>
        <v>20</v>
      </c>
      <c r="C20">
        <f>Weather_Site!E30</f>
        <v>85.6</v>
      </c>
      <c r="D20">
        <f>Weather_Site!F30</f>
        <v>350</v>
      </c>
      <c r="E20">
        <f>Weather_Site!G30</f>
        <v>8</v>
      </c>
      <c r="F20">
        <f>'Forest(McArthur)'!M27</f>
        <v>0</v>
      </c>
      <c r="G20">
        <f>Grass!$C$4</f>
        <v>85</v>
      </c>
      <c r="H20">
        <v>0</v>
      </c>
    </row>
    <row r="21" spans="1:8" x14ac:dyDescent="0.25">
      <c r="A21" s="230">
        <f>Weather_Site!B31+Weather_Site!C31</f>
        <v>41282</v>
      </c>
      <c r="B21">
        <f>Weather_Site!D31</f>
        <v>20.3</v>
      </c>
      <c r="C21">
        <f>Weather_Site!E31</f>
        <v>81.900000000000006</v>
      </c>
      <c r="D21">
        <f>Weather_Site!F31</f>
        <v>345</v>
      </c>
      <c r="E21">
        <f>Weather_Site!G31</f>
        <v>7</v>
      </c>
      <c r="F21">
        <f>'Forest(McArthur)'!M28</f>
        <v>0</v>
      </c>
      <c r="G21">
        <f>Grass!$C$4</f>
        <v>85</v>
      </c>
      <c r="H21">
        <v>0</v>
      </c>
    </row>
    <row r="22" spans="1:8" x14ac:dyDescent="0.25">
      <c r="A22" s="230">
        <f>Weather_Site!B32+Weather_Site!C32</f>
        <v>41282.041666666664</v>
      </c>
      <c r="B22">
        <f>Weather_Site!D32</f>
        <v>20.7</v>
      </c>
      <c r="C22">
        <f>Weather_Site!E32</f>
        <v>77.400000000000006</v>
      </c>
      <c r="D22">
        <f>Weather_Site!F32</f>
        <v>333</v>
      </c>
      <c r="E22">
        <f>Weather_Site!G32</f>
        <v>8</v>
      </c>
      <c r="F22">
        <f>'Forest(McArthur)'!M29</f>
        <v>0</v>
      </c>
      <c r="G22">
        <f>Grass!$C$4</f>
        <v>85</v>
      </c>
      <c r="H22">
        <v>0</v>
      </c>
    </row>
    <row r="23" spans="1:8" x14ac:dyDescent="0.25">
      <c r="A23" s="230">
        <f>Weather_Site!B33+Weather_Site!C33</f>
        <v>41282.083333333336</v>
      </c>
      <c r="B23">
        <f>Weather_Site!D33</f>
        <v>21.6</v>
      </c>
      <c r="C23">
        <f>Weather_Site!E33</f>
        <v>70.099999999999994</v>
      </c>
      <c r="D23">
        <f>Weather_Site!F33</f>
        <v>327</v>
      </c>
      <c r="E23">
        <f>Weather_Site!G33</f>
        <v>9</v>
      </c>
      <c r="F23">
        <f>'Forest(McArthur)'!M30</f>
        <v>0</v>
      </c>
      <c r="G23">
        <f>Grass!$C$4</f>
        <v>85</v>
      </c>
      <c r="H23">
        <v>0</v>
      </c>
    </row>
    <row r="24" spans="1:8" x14ac:dyDescent="0.25">
      <c r="A24" s="230">
        <f>Weather_Site!B34+Weather_Site!C34</f>
        <v>41282.125</v>
      </c>
      <c r="B24">
        <f>Weather_Site!D34</f>
        <v>23.1</v>
      </c>
      <c r="C24">
        <f>Weather_Site!E34</f>
        <v>60</v>
      </c>
      <c r="D24">
        <f>Weather_Site!F34</f>
        <v>319</v>
      </c>
      <c r="E24">
        <f>Weather_Site!G34</f>
        <v>10</v>
      </c>
      <c r="F24">
        <f>'Forest(McArthur)'!M31</f>
        <v>0</v>
      </c>
      <c r="G24">
        <f>Grass!$C$4</f>
        <v>85</v>
      </c>
      <c r="H24">
        <v>0</v>
      </c>
    </row>
    <row r="25" spans="1:8" x14ac:dyDescent="0.25">
      <c r="A25" s="230">
        <f>Weather_Site!B35+Weather_Site!C35</f>
        <v>41282.166666666664</v>
      </c>
      <c r="B25">
        <f>Weather_Site!D35</f>
        <v>24.7</v>
      </c>
      <c r="C25">
        <f>Weather_Site!E35</f>
        <v>51.1</v>
      </c>
      <c r="D25">
        <f>Weather_Site!F35</f>
        <v>312</v>
      </c>
      <c r="E25">
        <f>Weather_Site!G35</f>
        <v>11</v>
      </c>
      <c r="F25">
        <f>'Forest(McArthur)'!M32</f>
        <v>0</v>
      </c>
      <c r="G25">
        <f>Grass!$C$4</f>
        <v>85</v>
      </c>
      <c r="H25">
        <v>0</v>
      </c>
    </row>
    <row r="26" spans="1:8" x14ac:dyDescent="0.25">
      <c r="A26" s="230">
        <f>Weather_Site!B36+Weather_Site!C36</f>
        <v>41282.208333333336</v>
      </c>
      <c r="B26">
        <f>Weather_Site!D36</f>
        <v>25.9</v>
      </c>
      <c r="C26">
        <f>Weather_Site!E36</f>
        <v>44.9</v>
      </c>
      <c r="D26">
        <f>Weather_Site!F36</f>
        <v>307</v>
      </c>
      <c r="E26">
        <f>Weather_Site!G36</f>
        <v>12</v>
      </c>
      <c r="F26">
        <f>'Forest(McArthur)'!M33</f>
        <v>0</v>
      </c>
      <c r="G26">
        <f>Grass!$C$4</f>
        <v>85</v>
      </c>
      <c r="H26">
        <v>0</v>
      </c>
    </row>
    <row r="27" spans="1:8" x14ac:dyDescent="0.25">
      <c r="A27" s="230">
        <f>Weather_Site!B37+Weather_Site!C37</f>
        <v>41282.25</v>
      </c>
      <c r="B27">
        <f>Weather_Site!D37</f>
        <v>23.2</v>
      </c>
      <c r="C27">
        <f>Weather_Site!E37</f>
        <v>52</v>
      </c>
      <c r="D27">
        <f>Weather_Site!F37</f>
        <v>306</v>
      </c>
      <c r="E27">
        <f>Weather_Site!G37</f>
        <v>13</v>
      </c>
      <c r="F27">
        <f>'Forest(McArthur)'!M34</f>
        <v>0</v>
      </c>
      <c r="G27">
        <f>Grass!$C$4</f>
        <v>85</v>
      </c>
      <c r="H27">
        <v>0</v>
      </c>
    </row>
    <row r="28" spans="1:8" x14ac:dyDescent="0.25">
      <c r="A28" s="230">
        <f>Weather_Site!B38+Weather_Site!C38</f>
        <v>41282.291666666664</v>
      </c>
      <c r="B28">
        <f>Weather_Site!D38</f>
        <v>26.2</v>
      </c>
      <c r="C28">
        <f>Weather_Site!E38</f>
        <v>43.2</v>
      </c>
      <c r="D28">
        <f>Weather_Site!F38</f>
        <v>305</v>
      </c>
      <c r="E28">
        <f>Weather_Site!G38</f>
        <v>14</v>
      </c>
      <c r="F28">
        <f>'Forest(McArthur)'!M35</f>
        <v>0</v>
      </c>
      <c r="G28">
        <f>Grass!$C$4</f>
        <v>85</v>
      </c>
      <c r="H28">
        <v>0</v>
      </c>
    </row>
    <row r="29" spans="1:8" x14ac:dyDescent="0.25">
      <c r="A29" s="230">
        <f>Weather_Site!B39+Weather_Site!C39</f>
        <v>41282.333333333336</v>
      </c>
      <c r="B29">
        <f>Weather_Site!D39</f>
        <v>29.2</v>
      </c>
      <c r="C29">
        <f>Weather_Site!E39</f>
        <v>34.700000000000003</v>
      </c>
      <c r="D29">
        <f>Weather_Site!F39</f>
        <v>290</v>
      </c>
      <c r="E29">
        <f>Weather_Site!G39</f>
        <v>39</v>
      </c>
      <c r="F29">
        <f>'Forest(McArthur)'!M36</f>
        <v>0</v>
      </c>
      <c r="G29">
        <f>Grass!$C$4</f>
        <v>85</v>
      </c>
      <c r="H29">
        <v>0</v>
      </c>
    </row>
    <row r="30" spans="1:8" x14ac:dyDescent="0.25">
      <c r="A30" s="230">
        <f>Weather_Site!B40+Weather_Site!C40</f>
        <v>41282.375</v>
      </c>
      <c r="B30">
        <f>Weather_Site!D40</f>
        <v>32.4</v>
      </c>
      <c r="C30">
        <f>Weather_Site!E40</f>
        <v>25.1</v>
      </c>
      <c r="D30">
        <f>Weather_Site!F40</f>
        <v>291</v>
      </c>
      <c r="E30">
        <f>Weather_Site!G40</f>
        <v>42</v>
      </c>
      <c r="F30">
        <f>'Forest(McArthur)'!M37</f>
        <v>0</v>
      </c>
      <c r="G30">
        <f>Grass!$C$4</f>
        <v>85</v>
      </c>
      <c r="H30">
        <v>0</v>
      </c>
    </row>
    <row r="31" spans="1:8" x14ac:dyDescent="0.25">
      <c r="A31" s="230">
        <f>Weather_Site!B41+Weather_Site!C41</f>
        <v>41282.416666666664</v>
      </c>
      <c r="B31">
        <f>Weather_Site!D41</f>
        <v>35.700000000000003</v>
      </c>
      <c r="C31">
        <f>Weather_Site!E41</f>
        <v>17.5</v>
      </c>
      <c r="D31">
        <f>Weather_Site!F41</f>
        <v>291</v>
      </c>
      <c r="E31">
        <f>Weather_Site!G41</f>
        <v>44</v>
      </c>
      <c r="F31">
        <f>'Forest(McArthur)'!M38</f>
        <v>0</v>
      </c>
      <c r="G31">
        <f>Grass!$C$4</f>
        <v>85</v>
      </c>
      <c r="H31">
        <v>0</v>
      </c>
    </row>
    <row r="32" spans="1:8" x14ac:dyDescent="0.25">
      <c r="A32" s="230">
        <f>Weather_Site!B42+Weather_Site!C42</f>
        <v>41282.458333333336</v>
      </c>
      <c r="B32">
        <f>Weather_Site!D42</f>
        <v>38.799999999999997</v>
      </c>
      <c r="C32">
        <f>Weather_Site!E42</f>
        <v>12.8</v>
      </c>
      <c r="D32">
        <f>Weather_Site!F42</f>
        <v>291</v>
      </c>
      <c r="E32">
        <f>Weather_Site!G42</f>
        <v>45</v>
      </c>
      <c r="F32">
        <f>'Forest(McArthur)'!M39</f>
        <v>0</v>
      </c>
      <c r="G32">
        <f>Grass!$C$4</f>
        <v>85</v>
      </c>
      <c r="H32">
        <v>0</v>
      </c>
    </row>
    <row r="33" spans="1:8" x14ac:dyDescent="0.25">
      <c r="A33" s="230">
        <f>Weather_Site!B43+Weather_Site!C43</f>
        <v>41282.5</v>
      </c>
      <c r="B33">
        <f>Weather_Site!D43</f>
        <v>40</v>
      </c>
      <c r="C33">
        <f>Weather_Site!E43</f>
        <v>11.4</v>
      </c>
      <c r="D33">
        <f>Weather_Site!F43</f>
        <v>287</v>
      </c>
      <c r="E33">
        <f>Weather_Site!G43</f>
        <v>46</v>
      </c>
      <c r="F33">
        <f>'Forest(McArthur)'!M40</f>
        <v>0</v>
      </c>
      <c r="G33">
        <f>Grass!$C$4</f>
        <v>85</v>
      </c>
      <c r="H33">
        <v>0</v>
      </c>
    </row>
    <row r="34" spans="1:8" x14ac:dyDescent="0.25">
      <c r="A34" s="230">
        <f>Weather_Site!B44+Weather_Site!C44</f>
        <v>41282.541666666664</v>
      </c>
      <c r="B34">
        <f>Weather_Site!D44</f>
        <v>41.1</v>
      </c>
      <c r="C34">
        <f>Weather_Site!E44</f>
        <v>10.6</v>
      </c>
      <c r="D34">
        <f>Weather_Site!F44</f>
        <v>280</v>
      </c>
      <c r="E34">
        <f>Weather_Site!G44</f>
        <v>47</v>
      </c>
      <c r="F34">
        <f>'Forest(McArthur)'!M41</f>
        <v>0</v>
      </c>
      <c r="G34">
        <f>Grass!$C$4</f>
        <v>85</v>
      </c>
      <c r="H34">
        <v>0</v>
      </c>
    </row>
    <row r="35" spans="1:8" x14ac:dyDescent="0.25">
      <c r="A35" s="230">
        <f>Weather_Site!B45+Weather_Site!C45</f>
        <v>41282.583333333336</v>
      </c>
      <c r="B35">
        <f>Weather_Site!D45</f>
        <v>42.3</v>
      </c>
      <c r="C35">
        <f>Weather_Site!E45</f>
        <v>9.9</v>
      </c>
      <c r="D35">
        <f>Weather_Site!F45</f>
        <v>277</v>
      </c>
      <c r="E35">
        <f>Weather_Site!G45</f>
        <v>46</v>
      </c>
      <c r="F35">
        <f>'Forest(McArthur)'!M42</f>
        <v>0</v>
      </c>
      <c r="G35">
        <f>Grass!$C$4</f>
        <v>85</v>
      </c>
      <c r="H35">
        <v>0</v>
      </c>
    </row>
    <row r="36" spans="1:8" x14ac:dyDescent="0.25">
      <c r="A36" s="230">
        <f>Weather_Site!B46+Weather_Site!C46</f>
        <v>41282.625</v>
      </c>
      <c r="B36">
        <f>Weather_Site!D46</f>
        <v>42.1</v>
      </c>
      <c r="C36">
        <f>Weather_Site!E46</f>
        <v>9.5</v>
      </c>
      <c r="D36">
        <f>Weather_Site!F46</f>
        <v>268</v>
      </c>
      <c r="E36">
        <f>Weather_Site!G46</f>
        <v>39</v>
      </c>
      <c r="F36">
        <f>'Forest(McArthur)'!M43</f>
        <v>0</v>
      </c>
      <c r="G36">
        <f>Grass!$C$4</f>
        <v>85</v>
      </c>
      <c r="H36">
        <v>0</v>
      </c>
    </row>
    <row r="37" spans="1:8" x14ac:dyDescent="0.25">
      <c r="A37" s="230">
        <f>Weather_Site!B47+Weather_Site!C47</f>
        <v>41282.666666666664</v>
      </c>
      <c r="B37">
        <f>Weather_Site!D47</f>
        <v>42</v>
      </c>
      <c r="C37">
        <f>Weather_Site!E47</f>
        <v>9.3000000000000007</v>
      </c>
      <c r="D37">
        <f>Weather_Site!F47</f>
        <v>254</v>
      </c>
      <c r="E37">
        <f>Weather_Site!G47</f>
        <v>30</v>
      </c>
      <c r="F37">
        <f>'Forest(McArthur)'!M44</f>
        <v>0</v>
      </c>
      <c r="G37">
        <f>Grass!$C$4</f>
        <v>85</v>
      </c>
      <c r="H37">
        <v>0</v>
      </c>
    </row>
    <row r="38" spans="1:8" x14ac:dyDescent="0.25">
      <c r="A38" s="230">
        <f>Weather_Site!B48+Weather_Site!C48</f>
        <v>41282.708333333336</v>
      </c>
      <c r="B38">
        <f>Weather_Site!D48</f>
        <v>41.8</v>
      </c>
      <c r="C38">
        <f>Weather_Site!E48</f>
        <v>9.8000000000000007</v>
      </c>
      <c r="D38">
        <f>Weather_Site!F48</f>
        <v>249</v>
      </c>
      <c r="E38">
        <f>Weather_Site!G48</f>
        <v>24</v>
      </c>
      <c r="F38">
        <f>'Forest(McArthur)'!M45</f>
        <v>0</v>
      </c>
      <c r="G38">
        <f>Grass!$C$4</f>
        <v>85</v>
      </c>
      <c r="H38">
        <v>0</v>
      </c>
    </row>
    <row r="39" spans="1:8" x14ac:dyDescent="0.25">
      <c r="A39" s="230">
        <f>Weather_Site!B49+Weather_Site!C49</f>
        <v>41282.75</v>
      </c>
      <c r="B39">
        <f>Weather_Site!D49</f>
        <v>39.6</v>
      </c>
      <c r="C39">
        <f>Weather_Site!E49</f>
        <v>13.8</v>
      </c>
      <c r="D39">
        <f>Weather_Site!F49</f>
        <v>252</v>
      </c>
      <c r="E39">
        <f>Weather_Site!G49</f>
        <v>20</v>
      </c>
      <c r="F39">
        <f>'Forest(McArthur)'!M46</f>
        <v>0</v>
      </c>
      <c r="G39">
        <f>Grass!$C$4</f>
        <v>85</v>
      </c>
      <c r="H39">
        <v>0</v>
      </c>
    </row>
    <row r="40" spans="1:8" x14ac:dyDescent="0.25">
      <c r="A40" s="230">
        <f>Weather_Site!B50+Weather_Site!C50</f>
        <v>41282.791666666664</v>
      </c>
      <c r="B40">
        <f>Weather_Site!D50</f>
        <v>37.4</v>
      </c>
      <c r="C40">
        <f>Weather_Site!E50</f>
        <v>20.399999999999999</v>
      </c>
      <c r="D40">
        <f>Weather_Site!F50</f>
        <v>286</v>
      </c>
      <c r="E40">
        <f>Weather_Site!G50</f>
        <v>18</v>
      </c>
      <c r="F40">
        <f>'Forest(McArthur)'!M47</f>
        <v>0</v>
      </c>
      <c r="G40">
        <f>Grass!$C$4</f>
        <v>85</v>
      </c>
      <c r="H40">
        <v>0</v>
      </c>
    </row>
    <row r="41" spans="1:8" x14ac:dyDescent="0.25">
      <c r="A41" s="230">
        <f>Weather_Site!B51+Weather_Site!C51</f>
        <v>41282.833333333336</v>
      </c>
      <c r="B41">
        <f>Weather_Site!D51</f>
        <v>35.200000000000003</v>
      </c>
      <c r="C41">
        <f>Weather_Site!E51</f>
        <v>28.4</v>
      </c>
      <c r="D41">
        <f>Weather_Site!F51</f>
        <v>287</v>
      </c>
      <c r="E41">
        <f>Weather_Site!G51</f>
        <v>13</v>
      </c>
      <c r="F41">
        <f>'Forest(McArthur)'!M48</f>
        <v>0</v>
      </c>
      <c r="G41">
        <f>Grass!$C$4</f>
        <v>85</v>
      </c>
      <c r="H41">
        <v>0</v>
      </c>
    </row>
    <row r="42" spans="1:8" x14ac:dyDescent="0.25">
      <c r="A42" s="230">
        <f>Weather_Site!B52+Weather_Site!C52</f>
        <v>41282.875</v>
      </c>
      <c r="B42">
        <f>Weather_Site!D52</f>
        <v>32.4</v>
      </c>
      <c r="C42">
        <f>Weather_Site!E52</f>
        <v>34.700000000000003</v>
      </c>
      <c r="D42">
        <f>Weather_Site!F52</f>
        <v>254</v>
      </c>
      <c r="E42">
        <f>Weather_Site!G52</f>
        <v>14</v>
      </c>
      <c r="F42">
        <f>'Forest(McArthur)'!M49</f>
        <v>0</v>
      </c>
      <c r="G42">
        <f>Grass!$C$4</f>
        <v>85</v>
      </c>
      <c r="H42">
        <v>0</v>
      </c>
    </row>
    <row r="43" spans="1:8" x14ac:dyDescent="0.25">
      <c r="A43" s="230">
        <f>Weather_Site!B53+Weather_Site!C53</f>
        <v>41282.916666666664</v>
      </c>
      <c r="B43">
        <f>Weather_Site!D53</f>
        <v>29.6</v>
      </c>
      <c r="C43">
        <f>Weather_Site!E53</f>
        <v>39.4</v>
      </c>
      <c r="D43">
        <f>Weather_Site!F53</f>
        <v>199</v>
      </c>
      <c r="E43">
        <f>Weather_Site!G53</f>
        <v>14</v>
      </c>
      <c r="F43">
        <f>'Forest(McArthur)'!M50</f>
        <v>0</v>
      </c>
      <c r="G43">
        <f>Grass!$C$4</f>
        <v>85</v>
      </c>
      <c r="H43">
        <v>0</v>
      </c>
    </row>
    <row r="44" spans="1:8" x14ac:dyDescent="0.25">
      <c r="A44" s="230">
        <f>Weather_Site!B54+Weather_Site!C54</f>
        <v>41282.958333333336</v>
      </c>
      <c r="B44">
        <f>Weather_Site!D54</f>
        <v>26.9</v>
      </c>
      <c r="C44">
        <f>Weather_Site!E54</f>
        <v>42.6</v>
      </c>
      <c r="D44">
        <f>Weather_Site!F54</f>
        <v>171</v>
      </c>
      <c r="E44">
        <f>Weather_Site!G54</f>
        <v>14</v>
      </c>
      <c r="F44">
        <f>'Forest(McArthur)'!M51</f>
        <v>0</v>
      </c>
      <c r="G44">
        <f>Grass!$C$4</f>
        <v>85</v>
      </c>
      <c r="H44">
        <v>0</v>
      </c>
    </row>
    <row r="45" spans="1:8" x14ac:dyDescent="0.25">
      <c r="A45" s="230">
        <f>Weather_Site!B55+Weather_Site!C55</f>
        <v>41283</v>
      </c>
      <c r="B45">
        <f>Weather_Site!D55</f>
        <v>24.5</v>
      </c>
      <c r="C45">
        <f>Weather_Site!E55</f>
        <v>51.7</v>
      </c>
      <c r="D45">
        <f>Weather_Site!F55</f>
        <v>176</v>
      </c>
      <c r="E45">
        <f>Weather_Site!G55</f>
        <v>12</v>
      </c>
      <c r="F45">
        <f>'Forest(McArthur)'!M52</f>
        <v>0</v>
      </c>
      <c r="G45">
        <f>Grass!$C$4</f>
        <v>85</v>
      </c>
      <c r="H45">
        <v>0</v>
      </c>
    </row>
    <row r="46" spans="1:8" x14ac:dyDescent="0.25">
      <c r="A46" s="230">
        <f>Weather_Site!B56+Weather_Site!C56</f>
        <v>41283.041666666664</v>
      </c>
      <c r="B46">
        <f>Weather_Site!D56</f>
        <v>22.1</v>
      </c>
      <c r="C46">
        <f>Weather_Site!E56</f>
        <v>62.1</v>
      </c>
      <c r="D46">
        <f>Weather_Site!F56</f>
        <v>172</v>
      </c>
      <c r="E46">
        <f>Weather_Site!G56</f>
        <v>10</v>
      </c>
      <c r="F46">
        <f>'Forest(McArthur)'!M53</f>
        <v>0</v>
      </c>
      <c r="G46">
        <f>Grass!$C$4</f>
        <v>85</v>
      </c>
      <c r="H46">
        <v>0</v>
      </c>
    </row>
    <row r="47" spans="1:8" x14ac:dyDescent="0.25">
      <c r="A47" s="230">
        <f>Weather_Site!B57+Weather_Site!C57</f>
        <v>41283.083333333336</v>
      </c>
      <c r="B47">
        <f>Weather_Site!D57</f>
        <v>19.600000000000001</v>
      </c>
      <c r="C47">
        <f>Weather_Site!E57</f>
        <v>74.8</v>
      </c>
      <c r="D47">
        <f>Weather_Site!F57</f>
        <v>161</v>
      </c>
      <c r="E47">
        <f>Weather_Site!G57</f>
        <v>8</v>
      </c>
      <c r="F47">
        <f>'Forest(McArthur)'!M54</f>
        <v>0</v>
      </c>
      <c r="G47">
        <f>Grass!$C$4</f>
        <v>85</v>
      </c>
      <c r="H47">
        <v>0</v>
      </c>
    </row>
    <row r="48" spans="1:8" x14ac:dyDescent="0.25">
      <c r="A48" s="230">
        <f>Weather_Site!B58+Weather_Site!C58</f>
        <v>41283.125</v>
      </c>
      <c r="B48">
        <f>Weather_Site!D58</f>
        <v>19.5</v>
      </c>
      <c r="C48">
        <f>Weather_Site!E58</f>
        <v>74.3</v>
      </c>
      <c r="D48">
        <f>Weather_Site!F58</f>
        <v>157</v>
      </c>
      <c r="E48">
        <f>Weather_Site!G58</f>
        <v>9</v>
      </c>
      <c r="F48">
        <f>'Forest(McArthur)'!M55</f>
        <v>0</v>
      </c>
      <c r="G48">
        <f>Grass!$C$4</f>
        <v>85</v>
      </c>
      <c r="H48">
        <v>0</v>
      </c>
    </row>
    <row r="49" spans="1:8" x14ac:dyDescent="0.25">
      <c r="A49" s="230">
        <f>Weather_Site!B59+Weather_Site!C59</f>
        <v>41283.166666666664</v>
      </c>
      <c r="B49">
        <f>Weather_Site!D59</f>
        <v>19.2</v>
      </c>
      <c r="C49">
        <f>Weather_Site!E59</f>
        <v>74.2</v>
      </c>
      <c r="D49">
        <f>Weather_Site!F59</f>
        <v>153</v>
      </c>
      <c r="E49">
        <f>Weather_Site!G59</f>
        <v>10</v>
      </c>
      <c r="F49">
        <f>'Forest(McArthur)'!M56</f>
        <v>0</v>
      </c>
      <c r="G49">
        <f>Grass!$C$4</f>
        <v>85</v>
      </c>
      <c r="H49">
        <v>0</v>
      </c>
    </row>
    <row r="50" spans="1:8" x14ac:dyDescent="0.25">
      <c r="A50" s="230">
        <f>Weather_Site!B60+Weather_Site!C60</f>
        <v>41283.208333333336</v>
      </c>
      <c r="B50">
        <f>Weather_Site!D60</f>
        <v>19.100000000000001</v>
      </c>
      <c r="C50">
        <f>Weather_Site!E60</f>
        <v>73.8</v>
      </c>
      <c r="D50">
        <f>Weather_Site!F60</f>
        <v>147</v>
      </c>
      <c r="E50">
        <f>Weather_Site!G60</f>
        <v>11</v>
      </c>
      <c r="F50">
        <f>'Forest(McArthur)'!M57</f>
        <v>0</v>
      </c>
      <c r="G50">
        <f>Grass!$C$4</f>
        <v>85</v>
      </c>
      <c r="H50">
        <v>0</v>
      </c>
    </row>
    <row r="51" spans="1:8" x14ac:dyDescent="0.25">
      <c r="A51" s="230">
        <f>Weather_Site!B61+Weather_Site!C61</f>
        <v>41283.25</v>
      </c>
      <c r="B51">
        <f>Weather_Site!D61</f>
        <v>18.2</v>
      </c>
      <c r="C51">
        <f>Weather_Site!E61</f>
        <v>72.599999999999994</v>
      </c>
      <c r="D51">
        <f>Weather_Site!F61</f>
        <v>150</v>
      </c>
      <c r="E51">
        <f>Weather_Site!G61</f>
        <v>11</v>
      </c>
      <c r="F51">
        <f>'Forest(McArthur)'!M58</f>
        <v>0</v>
      </c>
      <c r="G51">
        <f>Grass!$C$4</f>
        <v>85</v>
      </c>
      <c r="H51">
        <v>0</v>
      </c>
    </row>
    <row r="52" spans="1:8" x14ac:dyDescent="0.25">
      <c r="A52" s="230">
        <f>Weather_Site!B62+Weather_Site!C62</f>
        <v>41283.291666666664</v>
      </c>
      <c r="B52">
        <f>Weather_Site!D62</f>
        <v>17.399999999999999</v>
      </c>
      <c r="C52">
        <f>Weather_Site!E62</f>
        <v>71.099999999999994</v>
      </c>
      <c r="D52">
        <f>Weather_Site!F62</f>
        <v>156</v>
      </c>
      <c r="E52">
        <f>Weather_Site!G62</f>
        <v>11</v>
      </c>
      <c r="F52">
        <f>'Forest(McArthur)'!M59</f>
        <v>0</v>
      </c>
      <c r="G52">
        <f>Grass!$C$4</f>
        <v>85</v>
      </c>
      <c r="H52">
        <v>0</v>
      </c>
    </row>
    <row r="53" spans="1:8" x14ac:dyDescent="0.25">
      <c r="A53" s="230">
        <f>Weather_Site!B63+Weather_Site!C63</f>
        <v>41283.333333333336</v>
      </c>
      <c r="B53">
        <f>Weather_Site!D63</f>
        <v>16.5</v>
      </c>
      <c r="C53">
        <f>Weather_Site!E63</f>
        <v>70</v>
      </c>
      <c r="D53">
        <f>Weather_Site!F63</f>
        <v>157</v>
      </c>
      <c r="E53">
        <f>Weather_Site!G63</f>
        <v>11</v>
      </c>
      <c r="F53">
        <f>'Forest(McArthur)'!M60</f>
        <v>0</v>
      </c>
      <c r="G53">
        <f>Grass!$C$4</f>
        <v>85</v>
      </c>
      <c r="H53">
        <v>0</v>
      </c>
    </row>
    <row r="54" spans="1:8" x14ac:dyDescent="0.25">
      <c r="A54" s="230">
        <f>Weather_Site!B64+Weather_Site!C64</f>
        <v>41283.375</v>
      </c>
      <c r="B54">
        <f>Weather_Site!D64</f>
        <v>17.5</v>
      </c>
      <c r="C54">
        <f>Weather_Site!E64</f>
        <v>62.3</v>
      </c>
      <c r="D54">
        <f>Weather_Site!F64</f>
        <v>156</v>
      </c>
      <c r="E54">
        <f>Weather_Site!G64</f>
        <v>10</v>
      </c>
      <c r="F54">
        <f>'Forest(McArthur)'!M61</f>
        <v>0</v>
      </c>
      <c r="G54">
        <f>Grass!$C$4</f>
        <v>85</v>
      </c>
      <c r="H54">
        <v>0</v>
      </c>
    </row>
    <row r="55" spans="1:8" x14ac:dyDescent="0.25">
      <c r="A55" s="230">
        <f>Weather_Site!B65+Weather_Site!C65</f>
        <v>41283.416666666664</v>
      </c>
      <c r="B55">
        <f>Weather_Site!D65</f>
        <v>18.600000000000001</v>
      </c>
      <c r="C55">
        <f>Weather_Site!E65</f>
        <v>55.5</v>
      </c>
      <c r="D55">
        <f>Weather_Site!F65</f>
        <v>155</v>
      </c>
      <c r="E55">
        <f>Weather_Site!G65</f>
        <v>9</v>
      </c>
      <c r="F55">
        <f>'Forest(McArthur)'!M62</f>
        <v>0</v>
      </c>
      <c r="G55">
        <f>Grass!$C$4</f>
        <v>85</v>
      </c>
      <c r="H55">
        <v>0</v>
      </c>
    </row>
    <row r="56" spans="1:8" x14ac:dyDescent="0.25">
      <c r="A56" s="230">
        <f>Weather_Site!B66+Weather_Site!C66</f>
        <v>41283.458333333336</v>
      </c>
      <c r="B56">
        <f>Weather_Site!D66</f>
        <v>19.600000000000001</v>
      </c>
      <c r="C56">
        <f>Weather_Site!E66</f>
        <v>49.4</v>
      </c>
      <c r="D56">
        <f>Weather_Site!F66</f>
        <v>155</v>
      </c>
      <c r="E56">
        <f>Weather_Site!G66</f>
        <v>8</v>
      </c>
      <c r="F56">
        <f>'Forest(McArthur)'!M63</f>
        <v>0</v>
      </c>
      <c r="G56">
        <f>Grass!$C$4</f>
        <v>85</v>
      </c>
      <c r="H56">
        <v>0</v>
      </c>
    </row>
    <row r="57" spans="1:8" x14ac:dyDescent="0.25">
      <c r="A57" s="230">
        <f>Weather_Site!B67+Weather_Site!C67</f>
        <v>41283.5</v>
      </c>
      <c r="B57">
        <f>Weather_Site!D67</f>
        <v>21.1</v>
      </c>
      <c r="C57">
        <f>Weather_Site!E67</f>
        <v>44.7</v>
      </c>
      <c r="D57">
        <f>Weather_Site!F67</f>
        <v>147</v>
      </c>
      <c r="E57">
        <f>Weather_Site!G67</f>
        <v>9</v>
      </c>
      <c r="F57">
        <f>'Forest(McArthur)'!M64</f>
        <v>0</v>
      </c>
      <c r="G57">
        <f>Grass!$C$4</f>
        <v>85</v>
      </c>
      <c r="H57">
        <v>0</v>
      </c>
    </row>
    <row r="58" spans="1:8" x14ac:dyDescent="0.25">
      <c r="A58" s="230">
        <f>Weather_Site!B68+Weather_Site!C68</f>
        <v>41283.541666666664</v>
      </c>
      <c r="B58">
        <f>Weather_Site!D68</f>
        <v>22.5</v>
      </c>
      <c r="C58">
        <f>Weather_Site!E68</f>
        <v>41.1</v>
      </c>
      <c r="D58">
        <f>Weather_Site!F68</f>
        <v>142</v>
      </c>
      <c r="E58">
        <f>Weather_Site!G68</f>
        <v>11</v>
      </c>
      <c r="F58">
        <f>'Forest(McArthur)'!M65</f>
        <v>0</v>
      </c>
      <c r="G58">
        <f>Grass!$C$4</f>
        <v>85</v>
      </c>
      <c r="H58">
        <v>0</v>
      </c>
    </row>
    <row r="59" spans="1:8" x14ac:dyDescent="0.25">
      <c r="A59" s="230">
        <f>Weather_Site!B69+Weather_Site!C69</f>
        <v>41283.583333333336</v>
      </c>
      <c r="B59">
        <f>Weather_Site!D69</f>
        <v>24</v>
      </c>
      <c r="C59">
        <f>Weather_Site!E69</f>
        <v>37.200000000000003</v>
      </c>
      <c r="D59">
        <f>Weather_Site!F69</f>
        <v>137</v>
      </c>
      <c r="E59">
        <f>Weather_Site!G69</f>
        <v>13</v>
      </c>
      <c r="F59">
        <f>'Forest(McArthur)'!M66</f>
        <v>0</v>
      </c>
      <c r="G59">
        <f>Grass!$C$4</f>
        <v>85</v>
      </c>
      <c r="H59">
        <v>0</v>
      </c>
    </row>
    <row r="60" spans="1:8" x14ac:dyDescent="0.25">
      <c r="A60" s="230">
        <f>Weather_Site!B70+Weather_Site!C70</f>
        <v>41283.625</v>
      </c>
      <c r="B60">
        <f>Weather_Site!D70</f>
        <v>23.6</v>
      </c>
      <c r="C60">
        <f>Weather_Site!E70</f>
        <v>37.6</v>
      </c>
      <c r="D60">
        <f>Weather_Site!F70</f>
        <v>134</v>
      </c>
      <c r="E60">
        <f>Weather_Site!G70</f>
        <v>14</v>
      </c>
      <c r="F60">
        <f>'Forest(McArthur)'!M67</f>
        <v>0</v>
      </c>
      <c r="G60">
        <f>Grass!$C$4</f>
        <v>85</v>
      </c>
      <c r="H60">
        <v>0</v>
      </c>
    </row>
    <row r="61" spans="1:8" x14ac:dyDescent="0.25">
      <c r="A61" s="230">
        <f>Weather_Site!B71+Weather_Site!C71</f>
        <v>41283.666666666664</v>
      </c>
      <c r="B61">
        <f>Weather_Site!D71</f>
        <v>23.3</v>
      </c>
      <c r="C61">
        <f>Weather_Site!E71</f>
        <v>37.6</v>
      </c>
      <c r="D61">
        <f>Weather_Site!F71</f>
        <v>131</v>
      </c>
      <c r="E61">
        <f>Weather_Site!G71</f>
        <v>15</v>
      </c>
      <c r="F61">
        <f>'Forest(McArthur)'!M68</f>
        <v>0</v>
      </c>
      <c r="G61">
        <f>Grass!$C$4</f>
        <v>85</v>
      </c>
      <c r="H61">
        <v>0</v>
      </c>
    </row>
    <row r="62" spans="1:8" x14ac:dyDescent="0.25">
      <c r="A62" s="230">
        <f>Weather_Site!B72+Weather_Site!C72</f>
        <v>41283.708333333336</v>
      </c>
      <c r="B62">
        <f>Weather_Site!D72</f>
        <v>22.9</v>
      </c>
      <c r="C62">
        <f>Weather_Site!E72</f>
        <v>38</v>
      </c>
      <c r="D62">
        <f>Weather_Site!F72</f>
        <v>126</v>
      </c>
      <c r="E62">
        <f>Weather_Site!G72</f>
        <v>16</v>
      </c>
      <c r="F62">
        <f>'Forest(McArthur)'!M69</f>
        <v>0</v>
      </c>
      <c r="G62">
        <f>Grass!$C$4</f>
        <v>85</v>
      </c>
      <c r="H62">
        <v>0</v>
      </c>
    </row>
    <row r="63" spans="1:8" x14ac:dyDescent="0.25">
      <c r="A63" s="230">
        <f>Weather_Site!B73+Weather_Site!C73</f>
        <v>41283.75</v>
      </c>
      <c r="B63">
        <f>Weather_Site!D73</f>
        <v>21.4</v>
      </c>
      <c r="C63">
        <f>Weather_Site!E73</f>
        <v>43.6</v>
      </c>
      <c r="D63">
        <f>Weather_Site!F73</f>
        <v>123</v>
      </c>
      <c r="E63">
        <f>Weather_Site!G73</f>
        <v>13</v>
      </c>
      <c r="F63">
        <f>'Forest(McArthur)'!M70</f>
        <v>0</v>
      </c>
      <c r="G63">
        <f>Grass!$C$4</f>
        <v>85</v>
      </c>
      <c r="H63">
        <v>0</v>
      </c>
    </row>
    <row r="64" spans="1:8" x14ac:dyDescent="0.25">
      <c r="A64" s="230">
        <f>Weather_Site!B74+Weather_Site!C74</f>
        <v>41283.791666666664</v>
      </c>
      <c r="B64">
        <f>Weather_Site!D74</f>
        <v>19.8</v>
      </c>
      <c r="C64">
        <f>Weather_Site!E74</f>
        <v>50.1</v>
      </c>
      <c r="D64">
        <f>Weather_Site!F74</f>
        <v>118</v>
      </c>
      <c r="E64">
        <f>Weather_Site!G74</f>
        <v>10</v>
      </c>
      <c r="F64">
        <f>'Forest(McArthur)'!M71</f>
        <v>0</v>
      </c>
      <c r="G64">
        <f>Grass!$C$4</f>
        <v>85</v>
      </c>
      <c r="H64">
        <v>0</v>
      </c>
    </row>
    <row r="65" spans="1:8" x14ac:dyDescent="0.25">
      <c r="A65" s="230">
        <f>Weather_Site!B75+Weather_Site!C75</f>
        <v>41283.833333333336</v>
      </c>
      <c r="B65">
        <f>Weather_Site!D75</f>
        <v>18.2</v>
      </c>
      <c r="C65">
        <f>Weather_Site!E75</f>
        <v>58</v>
      </c>
      <c r="D65">
        <f>Weather_Site!F75</f>
        <v>109</v>
      </c>
      <c r="E65">
        <f>Weather_Site!G75</f>
        <v>8</v>
      </c>
      <c r="F65">
        <f>'Forest(McArthur)'!M72</f>
        <v>0</v>
      </c>
      <c r="G65">
        <f>Grass!$C$4</f>
        <v>85</v>
      </c>
      <c r="H65">
        <v>0</v>
      </c>
    </row>
    <row r="66" spans="1:8" x14ac:dyDescent="0.25">
      <c r="A66" s="230">
        <f>Weather_Site!B76+Weather_Site!C76</f>
        <v>41283.875</v>
      </c>
      <c r="B66">
        <f>Weather_Site!D76</f>
        <v>17.399999999999999</v>
      </c>
      <c r="C66">
        <f>Weather_Site!E76</f>
        <v>62.2</v>
      </c>
      <c r="D66">
        <f>Weather_Site!F76</f>
        <v>101</v>
      </c>
      <c r="E66">
        <f>Weather_Site!G76</f>
        <v>7</v>
      </c>
      <c r="F66">
        <f>'Forest(McArthur)'!M73</f>
        <v>0</v>
      </c>
      <c r="G66">
        <f>Grass!$C$4</f>
        <v>85</v>
      </c>
      <c r="H66">
        <v>0</v>
      </c>
    </row>
    <row r="67" spans="1:8" x14ac:dyDescent="0.25">
      <c r="A67" s="230">
        <f>Weather_Site!B77+Weather_Site!C77</f>
        <v>41283.916666666664</v>
      </c>
      <c r="B67">
        <f>Weather_Site!D77</f>
        <v>16.5</v>
      </c>
      <c r="C67">
        <f>Weather_Site!E77</f>
        <v>66.8</v>
      </c>
      <c r="D67">
        <f>Weather_Site!F77</f>
        <v>91</v>
      </c>
      <c r="E67">
        <f>Weather_Site!G77</f>
        <v>7</v>
      </c>
      <c r="F67">
        <f>'Forest(McArthur)'!M74</f>
        <v>0</v>
      </c>
      <c r="G67">
        <f>Grass!$C$4</f>
        <v>85</v>
      </c>
      <c r="H67">
        <v>0</v>
      </c>
    </row>
    <row r="68" spans="1:8" x14ac:dyDescent="0.25">
      <c r="A68" s="230">
        <f>Weather_Site!B78+Weather_Site!C78</f>
        <v>41283.958333333336</v>
      </c>
      <c r="B68">
        <f>Weather_Site!D78</f>
        <v>15.7</v>
      </c>
      <c r="C68">
        <f>Weather_Site!E78</f>
        <v>71.7</v>
      </c>
      <c r="D68">
        <f>Weather_Site!F78</f>
        <v>78</v>
      </c>
      <c r="E68">
        <f>Weather_Site!G78</f>
        <v>7</v>
      </c>
      <c r="F68">
        <f>'Forest(McArthur)'!M75</f>
        <v>0</v>
      </c>
      <c r="G68">
        <f>Grass!$C$4</f>
        <v>85</v>
      </c>
      <c r="H68">
        <v>0</v>
      </c>
    </row>
    <row r="69" spans="1:8" x14ac:dyDescent="0.25">
      <c r="A69" s="230">
        <f>Weather_Site!B79+Weather_Site!C79</f>
        <v>41284</v>
      </c>
      <c r="B69">
        <f>Weather_Site!D79</f>
        <v>15.6</v>
      </c>
      <c r="C69">
        <f>Weather_Site!E79</f>
        <v>73.099999999999994</v>
      </c>
      <c r="D69">
        <f>Weather_Site!F79</f>
        <v>64</v>
      </c>
      <c r="E69">
        <f>Weather_Site!G79</f>
        <v>7</v>
      </c>
      <c r="F69">
        <f>'Forest(McArthur)'!M76</f>
        <v>0</v>
      </c>
      <c r="G69">
        <f>Grass!$C$4</f>
        <v>85</v>
      </c>
      <c r="H69">
        <v>0</v>
      </c>
    </row>
    <row r="70" spans="1:8" x14ac:dyDescent="0.25">
      <c r="A70" s="230">
        <f>Weather_Site!B80+Weather_Site!C80</f>
        <v>41284.041666666664</v>
      </c>
      <c r="B70">
        <f>Weather_Site!D80</f>
        <v>15.3</v>
      </c>
      <c r="C70">
        <f>Weather_Site!E80</f>
        <v>75.5</v>
      </c>
      <c r="D70">
        <f>Weather_Site!F80</f>
        <v>48</v>
      </c>
      <c r="E70">
        <f>Weather_Site!G80</f>
        <v>6</v>
      </c>
      <c r="F70">
        <f>'Forest(McArthur)'!M77</f>
        <v>0</v>
      </c>
      <c r="G70">
        <f>Grass!$C$4</f>
        <v>85</v>
      </c>
      <c r="H70">
        <v>0</v>
      </c>
    </row>
    <row r="71" spans="1:8" x14ac:dyDescent="0.25">
      <c r="A71" s="230">
        <f>Weather_Site!B81+Weather_Site!C81</f>
        <v>41284.083333333336</v>
      </c>
      <c r="B71">
        <f>Weather_Site!D81</f>
        <v>15.2</v>
      </c>
      <c r="C71">
        <f>Weather_Site!E81</f>
        <v>77</v>
      </c>
      <c r="D71">
        <f>Weather_Site!F81</f>
        <v>33</v>
      </c>
      <c r="E71">
        <f>Weather_Site!G81</f>
        <v>6</v>
      </c>
      <c r="F71">
        <f>'Forest(McArthur)'!M78</f>
        <v>0</v>
      </c>
      <c r="G71">
        <f>Grass!$C$4</f>
        <v>85</v>
      </c>
      <c r="H71">
        <v>0</v>
      </c>
    </row>
    <row r="72" spans="1:8" x14ac:dyDescent="0.25">
      <c r="A72" s="230">
        <f>Weather_Site!B82+Weather_Site!C82</f>
        <v>41284.125</v>
      </c>
      <c r="B72">
        <f>Weather_Site!D82</f>
        <v>15</v>
      </c>
      <c r="C72">
        <f>Weather_Site!E82</f>
        <v>76.5</v>
      </c>
      <c r="D72">
        <f>Weather_Site!F82</f>
        <v>24</v>
      </c>
      <c r="E72">
        <f>Weather_Site!G82</f>
        <v>6</v>
      </c>
      <c r="F72">
        <f>'Forest(McArthur)'!M79</f>
        <v>0</v>
      </c>
      <c r="G72">
        <f>Grass!$C$4</f>
        <v>85</v>
      </c>
      <c r="H72">
        <v>0</v>
      </c>
    </row>
    <row r="73" spans="1:8" x14ac:dyDescent="0.25">
      <c r="A73" s="230">
        <f>Weather_Site!B83+Weather_Site!C83</f>
        <v>41284.166666666664</v>
      </c>
      <c r="B73">
        <f>Weather_Site!D83</f>
        <v>14.9</v>
      </c>
      <c r="C73">
        <f>Weather_Site!E83</f>
        <v>75.5</v>
      </c>
      <c r="D73">
        <f>Weather_Site!F83</f>
        <v>14</v>
      </c>
      <c r="E73">
        <f>Weather_Site!G83</f>
        <v>6</v>
      </c>
      <c r="F73">
        <f>'Forest(McArthur)'!M80</f>
        <v>0</v>
      </c>
      <c r="G73">
        <f>Grass!$C$4</f>
        <v>85</v>
      </c>
      <c r="H73">
        <v>0</v>
      </c>
    </row>
    <row r="74" spans="1:8" x14ac:dyDescent="0.25">
      <c r="A74" s="230">
        <f>Weather_Site!B84+Weather_Site!C84</f>
        <v>41284.208333333336</v>
      </c>
      <c r="B74">
        <f>Weather_Site!D84</f>
        <v>14.7</v>
      </c>
      <c r="C74">
        <f>Weather_Site!E84</f>
        <v>74.900000000000006</v>
      </c>
      <c r="D74">
        <f>Weather_Site!F84</f>
        <v>4</v>
      </c>
      <c r="E74">
        <f>Weather_Site!G84</f>
        <v>6</v>
      </c>
      <c r="F74">
        <f>'Forest(McArthur)'!M81</f>
        <v>0</v>
      </c>
      <c r="G74">
        <f>Grass!$C$4</f>
        <v>85</v>
      </c>
      <c r="H74">
        <v>0</v>
      </c>
    </row>
    <row r="75" spans="1:8" x14ac:dyDescent="0.25">
      <c r="A75" s="230">
        <f>Weather_Site!B85+Weather_Site!C85</f>
        <v>41284.25</v>
      </c>
      <c r="B75">
        <f>Weather_Site!D85</f>
        <v>15.7</v>
      </c>
      <c r="C75">
        <f>Weather_Site!E85</f>
        <v>70.3</v>
      </c>
      <c r="D75">
        <f>Weather_Site!F85</f>
        <v>21</v>
      </c>
      <c r="E75">
        <f>Weather_Site!G85</f>
        <v>8</v>
      </c>
      <c r="F75">
        <f>'Forest(McArthur)'!M82</f>
        <v>0</v>
      </c>
      <c r="G75">
        <f>Grass!$C$4</f>
        <v>85</v>
      </c>
      <c r="H75">
        <v>0</v>
      </c>
    </row>
    <row r="76" spans="1:8" x14ac:dyDescent="0.25">
      <c r="A76" s="230">
        <f>Weather_Site!B86+Weather_Site!C86</f>
        <v>41284.291666666664</v>
      </c>
      <c r="B76">
        <f>Weather_Site!D86</f>
        <v>16.8</v>
      </c>
      <c r="C76">
        <f>Weather_Site!E86</f>
        <v>65.099999999999994</v>
      </c>
      <c r="D76">
        <f>Weather_Site!F86</f>
        <v>32</v>
      </c>
      <c r="E76">
        <f>Weather_Site!G86</f>
        <v>10</v>
      </c>
      <c r="F76">
        <f>'Forest(McArthur)'!M83</f>
        <v>0</v>
      </c>
      <c r="G76">
        <f>Grass!$C$4</f>
        <v>85</v>
      </c>
      <c r="H76">
        <v>0</v>
      </c>
    </row>
    <row r="77" spans="1:8" x14ac:dyDescent="0.25">
      <c r="A77" s="230">
        <f>Weather_Site!B87+Weather_Site!C87</f>
        <v>41284.333333333336</v>
      </c>
      <c r="B77">
        <f>Weather_Site!D87</f>
        <v>17.8</v>
      </c>
      <c r="C77">
        <f>Weather_Site!E87</f>
        <v>61.1</v>
      </c>
      <c r="D77">
        <f>Weather_Site!F87</f>
        <v>38</v>
      </c>
      <c r="E77">
        <f>Weather_Site!G87</f>
        <v>12</v>
      </c>
      <c r="F77">
        <f>'Forest(McArthur)'!M84</f>
        <v>0</v>
      </c>
      <c r="G77">
        <f>Grass!$C$4</f>
        <v>85</v>
      </c>
      <c r="H77">
        <v>0</v>
      </c>
    </row>
    <row r="78" spans="1:8" x14ac:dyDescent="0.25">
      <c r="A78" s="230">
        <f>Weather_Site!B88+Weather_Site!C88</f>
        <v>41284.375</v>
      </c>
      <c r="B78">
        <f>Weather_Site!D88</f>
        <v>18.399999999999999</v>
      </c>
      <c r="C78">
        <f>Weather_Site!E88</f>
        <v>58.5</v>
      </c>
      <c r="D78">
        <f>Weather_Site!F88</f>
        <v>41</v>
      </c>
      <c r="E78">
        <f>Weather_Site!G88</f>
        <v>12</v>
      </c>
      <c r="F78">
        <f>'Forest(McArthur)'!M85</f>
        <v>0</v>
      </c>
      <c r="G78">
        <f>Grass!$C$4</f>
        <v>85</v>
      </c>
      <c r="H78">
        <v>0</v>
      </c>
    </row>
    <row r="79" spans="1:8" x14ac:dyDescent="0.25">
      <c r="A79" s="230">
        <f>Weather_Site!B89+Weather_Site!C89</f>
        <v>41284.416666666664</v>
      </c>
      <c r="B79">
        <f>Weather_Site!D89</f>
        <v>19.7</v>
      </c>
      <c r="C79">
        <f>Weather_Site!E89</f>
        <v>53.6</v>
      </c>
      <c r="D79">
        <f>Weather_Site!F89</f>
        <v>44</v>
      </c>
      <c r="E79">
        <f>Weather_Site!G89</f>
        <v>12</v>
      </c>
      <c r="F79">
        <f>'Forest(McArthur)'!M86</f>
        <v>0</v>
      </c>
      <c r="G79">
        <f>Grass!$C$4</f>
        <v>85</v>
      </c>
      <c r="H79">
        <v>0</v>
      </c>
    </row>
    <row r="80" spans="1:8" x14ac:dyDescent="0.25">
      <c r="A80" s="230">
        <f>Weather_Site!B90+Weather_Site!C90</f>
        <v>41284.458333333336</v>
      </c>
      <c r="B80">
        <f>Weather_Site!D90</f>
        <v>20.9</v>
      </c>
      <c r="C80">
        <f>Weather_Site!E90</f>
        <v>49.4</v>
      </c>
      <c r="D80">
        <f>Weather_Site!F90</f>
        <v>47</v>
      </c>
      <c r="E80">
        <f>Weather_Site!G90</f>
        <v>12</v>
      </c>
      <c r="F80">
        <f>'Forest(McArthur)'!M87</f>
        <v>0</v>
      </c>
      <c r="G80">
        <f>Grass!$C$4</f>
        <v>85</v>
      </c>
      <c r="H80">
        <v>0</v>
      </c>
    </row>
    <row r="81" spans="1:8" x14ac:dyDescent="0.25">
      <c r="A81" s="230">
        <f>Weather_Site!B91+Weather_Site!C91</f>
        <v>41284.5</v>
      </c>
      <c r="B81">
        <f>Weather_Site!D91</f>
        <v>22.3</v>
      </c>
      <c r="C81">
        <f>Weather_Site!E91</f>
        <v>46.3</v>
      </c>
      <c r="D81">
        <f>Weather_Site!F91</f>
        <v>50</v>
      </c>
      <c r="E81">
        <f>Weather_Site!G91</f>
        <v>13</v>
      </c>
      <c r="F81">
        <f>'Forest(McArthur)'!M88</f>
        <v>0</v>
      </c>
      <c r="G81">
        <f>Grass!$C$4</f>
        <v>85</v>
      </c>
      <c r="H81">
        <v>0</v>
      </c>
    </row>
    <row r="82" spans="1:8" x14ac:dyDescent="0.25">
      <c r="A82" s="230">
        <f>Weather_Site!B92+Weather_Site!C92</f>
        <v>0</v>
      </c>
      <c r="B82">
        <f>Weather_Site!D92</f>
        <v>0</v>
      </c>
      <c r="C82">
        <f>Weather_Site!E92</f>
        <v>0</v>
      </c>
      <c r="D82">
        <f>Weather_Site!F92</f>
        <v>0</v>
      </c>
      <c r="E82">
        <f>Weather_Site!G92</f>
        <v>0</v>
      </c>
      <c r="F82">
        <f>'Forest(McArthur)'!M89</f>
        <v>0</v>
      </c>
      <c r="G82">
        <f>Grass!$C$4</f>
        <v>85</v>
      </c>
      <c r="H82">
        <v>0</v>
      </c>
    </row>
    <row r="83" spans="1:8" x14ac:dyDescent="0.25">
      <c r="A83" s="230">
        <f>Weather_Site!B93+Weather_Site!C93</f>
        <v>0</v>
      </c>
      <c r="B83">
        <f>Weather_Site!D93</f>
        <v>0</v>
      </c>
      <c r="C83">
        <f>Weather_Site!E93</f>
        <v>0</v>
      </c>
      <c r="D83">
        <f>Weather_Site!F93</f>
        <v>0</v>
      </c>
      <c r="E83">
        <f>Weather_Site!G93</f>
        <v>0</v>
      </c>
      <c r="F83">
        <f>'Forest(McArthur)'!M90</f>
        <v>0</v>
      </c>
      <c r="G83">
        <f>Grass!$C$4</f>
        <v>85</v>
      </c>
      <c r="H83">
        <v>0</v>
      </c>
    </row>
    <row r="84" spans="1:8" x14ac:dyDescent="0.25">
      <c r="A84" s="230">
        <f>Weather_Site!B94+Weather_Site!C94</f>
        <v>0</v>
      </c>
      <c r="B84">
        <f>Weather_Site!D94</f>
        <v>0</v>
      </c>
      <c r="C84">
        <f>Weather_Site!E94</f>
        <v>0</v>
      </c>
      <c r="D84">
        <f>Weather_Site!F94</f>
        <v>0</v>
      </c>
      <c r="E84">
        <f>Weather_Site!G94</f>
        <v>0</v>
      </c>
      <c r="F84">
        <f>'Forest(McArthur)'!M91</f>
        <v>0</v>
      </c>
      <c r="G84">
        <f>Grass!$C$4</f>
        <v>85</v>
      </c>
      <c r="H84">
        <v>0</v>
      </c>
    </row>
    <row r="85" spans="1:8" x14ac:dyDescent="0.25">
      <c r="A85" s="230">
        <f>Weather_Site!B95+Weather_Site!C95</f>
        <v>0</v>
      </c>
      <c r="B85">
        <f>Weather_Site!D95</f>
        <v>0</v>
      </c>
      <c r="C85">
        <f>Weather_Site!E95</f>
        <v>0</v>
      </c>
      <c r="D85">
        <f>Weather_Site!F95</f>
        <v>0</v>
      </c>
      <c r="E85">
        <f>Weather_Site!G95</f>
        <v>0</v>
      </c>
      <c r="F85">
        <f>'Forest(McArthur)'!M92</f>
        <v>0</v>
      </c>
      <c r="G85">
        <f>Grass!$C$4</f>
        <v>85</v>
      </c>
      <c r="H85">
        <v>0</v>
      </c>
    </row>
    <row r="86" spans="1:8" x14ac:dyDescent="0.25">
      <c r="A86" s="230">
        <f>Weather_Site!B96+Weather_Site!C96</f>
        <v>0</v>
      </c>
      <c r="B86">
        <f>Weather_Site!D96</f>
        <v>0</v>
      </c>
      <c r="C86">
        <f>Weather_Site!E96</f>
        <v>0</v>
      </c>
      <c r="D86">
        <f>Weather_Site!F96</f>
        <v>0</v>
      </c>
      <c r="E86">
        <f>Weather_Site!G96</f>
        <v>0</v>
      </c>
      <c r="F86">
        <f>'Forest(McArthur)'!M93</f>
        <v>0</v>
      </c>
      <c r="G86">
        <f>Grass!$C$4</f>
        <v>85</v>
      </c>
      <c r="H86">
        <v>0</v>
      </c>
    </row>
    <row r="87" spans="1:8" x14ac:dyDescent="0.25">
      <c r="A87" s="230">
        <f>Weather_Site!B97+Weather_Site!C97</f>
        <v>0</v>
      </c>
      <c r="B87">
        <f>Weather_Site!D97</f>
        <v>0</v>
      </c>
      <c r="C87">
        <f>Weather_Site!E97</f>
        <v>0</v>
      </c>
      <c r="D87">
        <f>Weather_Site!F97</f>
        <v>0</v>
      </c>
      <c r="E87">
        <f>Weather_Site!G97</f>
        <v>0</v>
      </c>
      <c r="F87">
        <f>'Forest(McArthur)'!M94</f>
        <v>0</v>
      </c>
      <c r="G87">
        <f>Grass!$C$4</f>
        <v>85</v>
      </c>
      <c r="H87">
        <v>0</v>
      </c>
    </row>
    <row r="88" spans="1:8" x14ac:dyDescent="0.25">
      <c r="A88" s="230">
        <f>Weather_Site!B98+Weather_Site!C98</f>
        <v>0</v>
      </c>
      <c r="B88">
        <f>Weather_Site!D98</f>
        <v>0</v>
      </c>
      <c r="C88">
        <f>Weather_Site!E98</f>
        <v>0</v>
      </c>
      <c r="D88">
        <f>Weather_Site!F98</f>
        <v>0</v>
      </c>
      <c r="E88">
        <f>Weather_Site!G98</f>
        <v>0</v>
      </c>
      <c r="F88">
        <f>'Forest(McArthur)'!M95</f>
        <v>0</v>
      </c>
      <c r="G88">
        <f>Grass!$C$4</f>
        <v>85</v>
      </c>
      <c r="H88">
        <v>0</v>
      </c>
    </row>
    <row r="89" spans="1:8" x14ac:dyDescent="0.25">
      <c r="A89" s="230">
        <f>Weather_Site!B99+Weather_Site!C99</f>
        <v>0</v>
      </c>
      <c r="B89">
        <f>Weather_Site!D99</f>
        <v>0</v>
      </c>
      <c r="C89">
        <f>Weather_Site!E99</f>
        <v>0</v>
      </c>
      <c r="D89">
        <f>Weather_Site!F99</f>
        <v>0</v>
      </c>
      <c r="E89">
        <f>Weather_Site!G99</f>
        <v>0</v>
      </c>
      <c r="F89">
        <f>'Forest(McArthur)'!M96</f>
        <v>0</v>
      </c>
      <c r="G89">
        <f>Grass!$C$4</f>
        <v>85</v>
      </c>
      <c r="H89">
        <v>0</v>
      </c>
    </row>
    <row r="90" spans="1:8" x14ac:dyDescent="0.25">
      <c r="A90" s="230">
        <f>Weather_Site!B100+Weather_Site!C100</f>
        <v>0</v>
      </c>
      <c r="B90">
        <f>Weather_Site!D100</f>
        <v>0</v>
      </c>
      <c r="C90">
        <f>Weather_Site!E100</f>
        <v>0</v>
      </c>
      <c r="D90">
        <f>Weather_Site!F100</f>
        <v>0</v>
      </c>
      <c r="E90">
        <f>Weather_Site!G100</f>
        <v>0</v>
      </c>
      <c r="F90">
        <f>'Forest(McArthur)'!M97</f>
        <v>0</v>
      </c>
      <c r="G90">
        <f>Grass!$C$4</f>
        <v>85</v>
      </c>
      <c r="H90">
        <v>0</v>
      </c>
    </row>
    <row r="91" spans="1:8" x14ac:dyDescent="0.25">
      <c r="A91" s="230">
        <f>Weather_Site!B101+Weather_Site!C101</f>
        <v>0</v>
      </c>
      <c r="B91">
        <f>Weather_Site!D101</f>
        <v>0</v>
      </c>
      <c r="C91">
        <f>Weather_Site!E101</f>
        <v>0</v>
      </c>
      <c r="D91">
        <f>Weather_Site!F101</f>
        <v>0</v>
      </c>
      <c r="E91">
        <f>Weather_Site!G101</f>
        <v>0</v>
      </c>
      <c r="F91">
        <f>'Forest(McArthur)'!M98</f>
        <v>0</v>
      </c>
      <c r="G91">
        <f>Grass!$C$4</f>
        <v>85</v>
      </c>
      <c r="H91">
        <v>0</v>
      </c>
    </row>
    <row r="92" spans="1:8" x14ac:dyDescent="0.25">
      <c r="A92" s="230">
        <f>Weather_Site!B102+Weather_Site!C102</f>
        <v>0</v>
      </c>
      <c r="B92">
        <f>Weather_Site!D102</f>
        <v>0</v>
      </c>
      <c r="C92">
        <f>Weather_Site!E102</f>
        <v>0</v>
      </c>
      <c r="D92">
        <f>Weather_Site!F102</f>
        <v>0</v>
      </c>
      <c r="E92">
        <f>Weather_Site!G102</f>
        <v>0</v>
      </c>
      <c r="F92">
        <f>'Forest(McArthur)'!M99</f>
        <v>0</v>
      </c>
      <c r="G92">
        <f>Grass!$C$4</f>
        <v>85</v>
      </c>
      <c r="H92">
        <v>0</v>
      </c>
    </row>
    <row r="93" spans="1:8" x14ac:dyDescent="0.25">
      <c r="A93" s="230">
        <f>Weather_Site!B103+Weather_Site!C103</f>
        <v>0</v>
      </c>
      <c r="B93">
        <f>Weather_Site!D103</f>
        <v>0</v>
      </c>
      <c r="C93">
        <f>Weather_Site!E103</f>
        <v>0</v>
      </c>
      <c r="D93">
        <f>Weather_Site!F103</f>
        <v>0</v>
      </c>
      <c r="E93">
        <f>Weather_Site!G103</f>
        <v>0</v>
      </c>
      <c r="F93">
        <f>'Forest(McArthur)'!M100</f>
        <v>0</v>
      </c>
      <c r="G93">
        <f>Grass!$C$4</f>
        <v>85</v>
      </c>
      <c r="H93">
        <v>0</v>
      </c>
    </row>
    <row r="94" spans="1:8" x14ac:dyDescent="0.25">
      <c r="A94" s="230">
        <f>Weather_Site!B104+Weather_Site!C104</f>
        <v>0</v>
      </c>
      <c r="B94">
        <f>Weather_Site!D104</f>
        <v>0</v>
      </c>
      <c r="C94">
        <f>Weather_Site!E104</f>
        <v>0</v>
      </c>
      <c r="D94">
        <f>Weather_Site!F104</f>
        <v>0</v>
      </c>
      <c r="E94">
        <f>Weather_Site!G104</f>
        <v>0</v>
      </c>
      <c r="F94">
        <f>'Forest(McArthur)'!M101</f>
        <v>0</v>
      </c>
      <c r="G94">
        <f>Grass!$C$4</f>
        <v>85</v>
      </c>
      <c r="H94">
        <v>0</v>
      </c>
    </row>
    <row r="95" spans="1:8" x14ac:dyDescent="0.25">
      <c r="A95" s="230">
        <f>Weather_Site!B105+Weather_Site!C105</f>
        <v>0</v>
      </c>
      <c r="B95">
        <f>Weather_Site!D105</f>
        <v>0</v>
      </c>
      <c r="C95">
        <f>Weather_Site!E105</f>
        <v>0</v>
      </c>
      <c r="D95">
        <f>Weather_Site!F105</f>
        <v>0</v>
      </c>
      <c r="E95">
        <f>Weather_Site!G105</f>
        <v>0</v>
      </c>
      <c r="F95">
        <f>'Forest(McArthur)'!M102</f>
        <v>0</v>
      </c>
      <c r="G95">
        <f>Grass!$C$4</f>
        <v>85</v>
      </c>
      <c r="H95">
        <v>0</v>
      </c>
    </row>
    <row r="96" spans="1:8" x14ac:dyDescent="0.25">
      <c r="A96" s="230">
        <f>Weather_Site!B106+Weather_Site!C106</f>
        <v>0</v>
      </c>
      <c r="B96">
        <f>Weather_Site!D106</f>
        <v>0</v>
      </c>
      <c r="C96">
        <f>Weather_Site!E106</f>
        <v>0</v>
      </c>
      <c r="D96">
        <f>Weather_Site!F106</f>
        <v>0</v>
      </c>
      <c r="E96">
        <f>Weather_Site!G106</f>
        <v>0</v>
      </c>
      <c r="F96">
        <f>'Forest(McArthur)'!M103</f>
        <v>0</v>
      </c>
      <c r="G96">
        <f>Grass!$C$4</f>
        <v>85</v>
      </c>
      <c r="H96">
        <v>0</v>
      </c>
    </row>
    <row r="97" spans="1:8" x14ac:dyDescent="0.25">
      <c r="A97" s="230">
        <f>Weather_Site!B107+Weather_Site!C107</f>
        <v>0</v>
      </c>
      <c r="B97">
        <f>Weather_Site!D107</f>
        <v>0</v>
      </c>
      <c r="C97">
        <f>Weather_Site!E107</f>
        <v>0</v>
      </c>
      <c r="D97">
        <f>Weather_Site!F107</f>
        <v>0</v>
      </c>
      <c r="E97">
        <f>Weather_Site!G107</f>
        <v>0</v>
      </c>
      <c r="F97">
        <f>'Forest(McArthur)'!M104</f>
        <v>0</v>
      </c>
      <c r="G97">
        <f>Grass!$C$4</f>
        <v>85</v>
      </c>
      <c r="H97">
        <v>0</v>
      </c>
    </row>
    <row r="98" spans="1:8" x14ac:dyDescent="0.25">
      <c r="A98" s="230">
        <f>Weather_Site!B108+Weather_Site!C108</f>
        <v>0</v>
      </c>
      <c r="B98">
        <f>Weather_Site!D108</f>
        <v>0</v>
      </c>
      <c r="C98">
        <f>Weather_Site!E108</f>
        <v>0</v>
      </c>
      <c r="D98">
        <f>Weather_Site!F108</f>
        <v>0</v>
      </c>
      <c r="E98">
        <f>Weather_Site!G108</f>
        <v>0</v>
      </c>
      <c r="F98">
        <f>'Forest(McArthur)'!M105</f>
        <v>0</v>
      </c>
      <c r="G98">
        <f>Grass!$C$4</f>
        <v>85</v>
      </c>
      <c r="H98">
        <v>0</v>
      </c>
    </row>
    <row r="99" spans="1:8" x14ac:dyDescent="0.25">
      <c r="A99" s="230">
        <f>Weather_Site!B109+Weather_Site!C109</f>
        <v>0</v>
      </c>
      <c r="B99">
        <f>Weather_Site!D109</f>
        <v>0</v>
      </c>
      <c r="C99">
        <f>Weather_Site!E109</f>
        <v>0</v>
      </c>
      <c r="D99">
        <f>Weather_Site!F109</f>
        <v>0</v>
      </c>
      <c r="E99">
        <f>Weather_Site!G109</f>
        <v>0</v>
      </c>
      <c r="F99">
        <f>'Forest(McArthur)'!M106</f>
        <v>0</v>
      </c>
      <c r="G99">
        <f>Grass!$C$4</f>
        <v>85</v>
      </c>
      <c r="H99">
        <v>0</v>
      </c>
    </row>
    <row r="100" spans="1:8" x14ac:dyDescent="0.25">
      <c r="A100" s="230">
        <f>Weather_Site!B110+Weather_Site!C110</f>
        <v>0</v>
      </c>
      <c r="B100">
        <f>Weather_Site!D110</f>
        <v>0</v>
      </c>
      <c r="C100">
        <f>Weather_Site!E110</f>
        <v>0</v>
      </c>
      <c r="D100">
        <f>Weather_Site!F110</f>
        <v>0</v>
      </c>
      <c r="E100">
        <f>Weather_Site!G110</f>
        <v>0</v>
      </c>
      <c r="F100">
        <f>'Forest(McArthur)'!M107</f>
        <v>0</v>
      </c>
      <c r="G100">
        <f>Grass!$C$4</f>
        <v>85</v>
      </c>
      <c r="H100">
        <v>0</v>
      </c>
    </row>
    <row r="101" spans="1:8" x14ac:dyDescent="0.25">
      <c r="A101" s="230">
        <f>Weather_Site!B111+Weather_Site!C111</f>
        <v>0</v>
      </c>
      <c r="B101">
        <f>Weather_Site!D111</f>
        <v>0</v>
      </c>
      <c r="C101">
        <f>Weather_Site!E111</f>
        <v>0</v>
      </c>
      <c r="D101">
        <f>Weather_Site!F111</f>
        <v>0</v>
      </c>
      <c r="E101">
        <f>Weather_Site!G111</f>
        <v>0</v>
      </c>
      <c r="F101">
        <f>'Forest(McArthur)'!M108</f>
        <v>0</v>
      </c>
      <c r="G101">
        <f>Grass!$C$4</f>
        <v>85</v>
      </c>
      <c r="H101">
        <v>0</v>
      </c>
    </row>
    <row r="102" spans="1:8" x14ac:dyDescent="0.25">
      <c r="A102" s="230">
        <f>Weather_Site!B112+Weather_Site!C112</f>
        <v>0</v>
      </c>
      <c r="B102">
        <f>Weather_Site!D112</f>
        <v>0</v>
      </c>
      <c r="C102">
        <f>Weather_Site!E112</f>
        <v>0</v>
      </c>
      <c r="D102">
        <f>Weather_Site!F112</f>
        <v>0</v>
      </c>
      <c r="E102">
        <f>Weather_Site!G112</f>
        <v>0</v>
      </c>
      <c r="F102">
        <f>'Forest(McArthur)'!M109</f>
        <v>0</v>
      </c>
      <c r="G102">
        <f>Grass!$C$4</f>
        <v>85</v>
      </c>
      <c r="H102">
        <v>0</v>
      </c>
    </row>
    <row r="103" spans="1:8" x14ac:dyDescent="0.25">
      <c r="A103" s="230">
        <f>Weather_Site!B113+Weather_Site!C113</f>
        <v>0</v>
      </c>
      <c r="B103">
        <f>Weather_Site!D113</f>
        <v>0</v>
      </c>
      <c r="C103">
        <f>Weather_Site!E113</f>
        <v>0</v>
      </c>
      <c r="D103">
        <f>Weather_Site!F113</f>
        <v>0</v>
      </c>
      <c r="E103">
        <f>Weather_Site!G113</f>
        <v>0</v>
      </c>
      <c r="F103">
        <f>'Forest(McArthur)'!M110</f>
        <v>0</v>
      </c>
      <c r="G103">
        <f>Grass!$C$4</f>
        <v>85</v>
      </c>
      <c r="H103">
        <v>0</v>
      </c>
    </row>
    <row r="104" spans="1:8" x14ac:dyDescent="0.25">
      <c r="A104" s="230">
        <f>Weather_Site!B114+Weather_Site!C114</f>
        <v>0</v>
      </c>
      <c r="B104">
        <f>Weather_Site!D114</f>
        <v>0</v>
      </c>
      <c r="C104">
        <f>Weather_Site!E114</f>
        <v>0</v>
      </c>
      <c r="D104">
        <f>Weather_Site!F114</f>
        <v>0</v>
      </c>
      <c r="E104">
        <f>Weather_Site!G114</f>
        <v>0</v>
      </c>
      <c r="F104">
        <f>'Forest(McArthur)'!M111</f>
        <v>0</v>
      </c>
      <c r="G104">
        <f>Grass!$C$4</f>
        <v>85</v>
      </c>
      <c r="H104">
        <v>0</v>
      </c>
    </row>
    <row r="105" spans="1:8" x14ac:dyDescent="0.25">
      <c r="A105" s="230">
        <f>Weather_Site!B115+Weather_Site!C115</f>
        <v>0</v>
      </c>
      <c r="B105">
        <f>Weather_Site!D115</f>
        <v>0</v>
      </c>
      <c r="C105">
        <f>Weather_Site!E115</f>
        <v>0</v>
      </c>
      <c r="D105">
        <f>Weather_Site!F115</f>
        <v>0</v>
      </c>
      <c r="E105">
        <f>Weather_Site!G115</f>
        <v>0</v>
      </c>
      <c r="F105">
        <f>'Forest(McArthur)'!M112</f>
        <v>0</v>
      </c>
      <c r="G105">
        <f>Grass!$C$4</f>
        <v>85</v>
      </c>
      <c r="H105">
        <v>0</v>
      </c>
    </row>
    <row r="106" spans="1:8" x14ac:dyDescent="0.25">
      <c r="A106" s="230">
        <f>Weather_Site!B116+Weather_Site!C116</f>
        <v>0</v>
      </c>
      <c r="B106">
        <f>Weather_Site!D116</f>
        <v>0</v>
      </c>
      <c r="C106">
        <f>Weather_Site!E116</f>
        <v>0</v>
      </c>
      <c r="D106">
        <f>Weather_Site!F116</f>
        <v>0</v>
      </c>
      <c r="E106">
        <f>Weather_Site!G116</f>
        <v>0</v>
      </c>
      <c r="F106">
        <f>'Forest(McArthur)'!M113</f>
        <v>0</v>
      </c>
      <c r="G106">
        <f>Grass!$C$4</f>
        <v>85</v>
      </c>
      <c r="H106">
        <v>0</v>
      </c>
    </row>
    <row r="107" spans="1:8" x14ac:dyDescent="0.25">
      <c r="A107" s="230">
        <f>Weather_Site!B117+Weather_Site!C117</f>
        <v>0</v>
      </c>
      <c r="B107">
        <f>Weather_Site!D117</f>
        <v>0</v>
      </c>
      <c r="C107">
        <f>Weather_Site!E117</f>
        <v>0</v>
      </c>
      <c r="D107">
        <f>Weather_Site!F117</f>
        <v>0</v>
      </c>
      <c r="E107">
        <f>Weather_Site!G117</f>
        <v>0</v>
      </c>
      <c r="F107">
        <f>'Forest(McArthur)'!M114</f>
        <v>0</v>
      </c>
      <c r="G107">
        <f>Grass!$C$4</f>
        <v>85</v>
      </c>
      <c r="H107">
        <v>0</v>
      </c>
    </row>
    <row r="108" spans="1:8" x14ac:dyDescent="0.25">
      <c r="A108" s="230">
        <f>Weather_Site!B118+Weather_Site!C118</f>
        <v>0</v>
      </c>
      <c r="B108">
        <f>Weather_Site!D118</f>
        <v>0</v>
      </c>
      <c r="C108">
        <f>Weather_Site!E118</f>
        <v>0</v>
      </c>
      <c r="D108">
        <f>Weather_Site!F118</f>
        <v>0</v>
      </c>
      <c r="E108">
        <f>Weather_Site!G118</f>
        <v>0</v>
      </c>
      <c r="F108">
        <f>'Forest(McArthur)'!M115</f>
        <v>0</v>
      </c>
      <c r="G108">
        <f>Grass!$C$4</f>
        <v>85</v>
      </c>
      <c r="H108">
        <v>0</v>
      </c>
    </row>
    <row r="109" spans="1:8" x14ac:dyDescent="0.25">
      <c r="A109" s="230">
        <f>Weather_Site!B119+Weather_Site!C119</f>
        <v>0</v>
      </c>
      <c r="B109">
        <f>Weather_Site!D119</f>
        <v>0</v>
      </c>
      <c r="C109">
        <f>Weather_Site!E119</f>
        <v>0</v>
      </c>
      <c r="D109">
        <f>Weather_Site!F119</f>
        <v>0</v>
      </c>
      <c r="E109">
        <f>Weather_Site!G119</f>
        <v>0</v>
      </c>
      <c r="F109">
        <f>'Forest(McArthur)'!M116</f>
        <v>0</v>
      </c>
      <c r="G109">
        <f>Grass!$C$4</f>
        <v>85</v>
      </c>
      <c r="H109">
        <v>0</v>
      </c>
    </row>
    <row r="110" spans="1:8" x14ac:dyDescent="0.25">
      <c r="A110" s="230">
        <f>Weather_Site!B120+Weather_Site!C120</f>
        <v>0</v>
      </c>
      <c r="B110">
        <f>Weather_Site!D120</f>
        <v>0</v>
      </c>
      <c r="C110">
        <f>Weather_Site!E120</f>
        <v>0</v>
      </c>
      <c r="D110">
        <f>Weather_Site!F120</f>
        <v>0</v>
      </c>
      <c r="E110">
        <f>Weather_Site!G120</f>
        <v>0</v>
      </c>
      <c r="F110">
        <f>'Forest(McArthur)'!M117</f>
        <v>0</v>
      </c>
      <c r="G110">
        <f>Grass!$C$4</f>
        <v>85</v>
      </c>
      <c r="H110">
        <v>0</v>
      </c>
    </row>
    <row r="111" spans="1:8" x14ac:dyDescent="0.25">
      <c r="A111" s="230">
        <f>Weather_Site!B121+Weather_Site!C121</f>
        <v>0</v>
      </c>
      <c r="B111">
        <f>Weather_Site!D121</f>
        <v>0</v>
      </c>
      <c r="C111">
        <f>Weather_Site!E121</f>
        <v>0</v>
      </c>
      <c r="D111">
        <f>Weather_Site!F121</f>
        <v>0</v>
      </c>
      <c r="E111">
        <f>Weather_Site!G121</f>
        <v>0</v>
      </c>
      <c r="F111">
        <f>'Forest(McArthur)'!M118</f>
        <v>0</v>
      </c>
      <c r="G111">
        <f>Grass!$C$4</f>
        <v>85</v>
      </c>
      <c r="H111">
        <v>0</v>
      </c>
    </row>
    <row r="112" spans="1:8" x14ac:dyDescent="0.25">
      <c r="A112" s="230">
        <f>Weather_Site!B122+Weather_Site!C122</f>
        <v>0</v>
      </c>
      <c r="B112">
        <f>Weather_Site!D122</f>
        <v>0</v>
      </c>
      <c r="C112">
        <f>Weather_Site!E122</f>
        <v>0</v>
      </c>
      <c r="D112">
        <f>Weather_Site!F122</f>
        <v>0</v>
      </c>
      <c r="E112">
        <f>Weather_Site!G122</f>
        <v>0</v>
      </c>
      <c r="F112">
        <f>'Forest(McArthur)'!M119</f>
        <v>0</v>
      </c>
      <c r="G112">
        <f>Grass!$C$4</f>
        <v>85</v>
      </c>
      <c r="H112">
        <v>0</v>
      </c>
    </row>
    <row r="113" spans="1:8" x14ac:dyDescent="0.25">
      <c r="A113" s="230">
        <f>Weather_Site!B123+Weather_Site!C123</f>
        <v>0</v>
      </c>
      <c r="B113">
        <f>Weather_Site!D123</f>
        <v>0</v>
      </c>
      <c r="C113">
        <f>Weather_Site!E123</f>
        <v>0</v>
      </c>
      <c r="D113">
        <f>Weather_Site!F123</f>
        <v>0</v>
      </c>
      <c r="E113">
        <f>Weather_Site!G123</f>
        <v>0</v>
      </c>
      <c r="F113">
        <f>'Forest(McArthur)'!M120</f>
        <v>0</v>
      </c>
      <c r="G113">
        <f>Grass!$C$4</f>
        <v>85</v>
      </c>
      <c r="H113">
        <v>0</v>
      </c>
    </row>
    <row r="114" spans="1:8" x14ac:dyDescent="0.25">
      <c r="A114" s="230">
        <f>Weather_Site!B124+Weather_Site!C124</f>
        <v>0</v>
      </c>
      <c r="B114">
        <f>Weather_Site!D124</f>
        <v>0</v>
      </c>
      <c r="C114">
        <f>Weather_Site!E124</f>
        <v>0</v>
      </c>
      <c r="D114">
        <f>Weather_Site!F124</f>
        <v>0</v>
      </c>
      <c r="E114">
        <f>Weather_Site!G124</f>
        <v>0</v>
      </c>
      <c r="F114">
        <f>'Forest(McArthur)'!M121</f>
        <v>0</v>
      </c>
      <c r="G114">
        <f>Grass!$C$4</f>
        <v>85</v>
      </c>
      <c r="H114">
        <v>0</v>
      </c>
    </row>
    <row r="115" spans="1:8" x14ac:dyDescent="0.25">
      <c r="A115" s="230">
        <f>Weather_Site!B125+Weather_Site!C125</f>
        <v>0</v>
      </c>
      <c r="B115">
        <f>Weather_Site!D125</f>
        <v>0</v>
      </c>
      <c r="C115">
        <f>Weather_Site!E125</f>
        <v>0</v>
      </c>
      <c r="D115">
        <f>Weather_Site!F125</f>
        <v>0</v>
      </c>
      <c r="E115">
        <f>Weather_Site!G125</f>
        <v>0</v>
      </c>
      <c r="F115">
        <f>'Forest(McArthur)'!M122</f>
        <v>0</v>
      </c>
      <c r="G115">
        <f>Grass!$C$4</f>
        <v>85</v>
      </c>
      <c r="H115">
        <v>0</v>
      </c>
    </row>
    <row r="116" spans="1:8" x14ac:dyDescent="0.25">
      <c r="A116" s="230">
        <f>Weather_Site!B126+Weather_Site!C126</f>
        <v>0</v>
      </c>
      <c r="B116">
        <f>Weather_Site!D126</f>
        <v>0</v>
      </c>
      <c r="C116">
        <f>Weather_Site!E126</f>
        <v>0</v>
      </c>
      <c r="D116">
        <f>Weather_Site!F126</f>
        <v>0</v>
      </c>
      <c r="E116">
        <f>Weather_Site!G126</f>
        <v>0</v>
      </c>
      <c r="F116">
        <f>'Forest(McArthur)'!M123</f>
        <v>0</v>
      </c>
      <c r="G116">
        <f>Grass!$C$4</f>
        <v>85</v>
      </c>
      <c r="H116">
        <v>0</v>
      </c>
    </row>
    <row r="117" spans="1:8" x14ac:dyDescent="0.25">
      <c r="A117" s="230">
        <f>Weather_Site!B127+Weather_Site!C127</f>
        <v>0</v>
      </c>
      <c r="B117">
        <f>Weather_Site!D127</f>
        <v>0</v>
      </c>
      <c r="C117">
        <f>Weather_Site!E127</f>
        <v>0</v>
      </c>
      <c r="D117">
        <f>Weather_Site!F127</f>
        <v>0</v>
      </c>
      <c r="E117">
        <f>Weather_Site!G127</f>
        <v>0</v>
      </c>
      <c r="F117">
        <f>'Forest(McArthur)'!M124</f>
        <v>0</v>
      </c>
      <c r="G117">
        <f>Grass!$C$4</f>
        <v>85</v>
      </c>
      <c r="H117">
        <v>0</v>
      </c>
    </row>
    <row r="118" spans="1:8" x14ac:dyDescent="0.25">
      <c r="A118" s="230">
        <f>Weather_Site!B128+Weather_Site!C128</f>
        <v>0</v>
      </c>
      <c r="B118">
        <f>Weather_Site!D128</f>
        <v>0</v>
      </c>
      <c r="C118">
        <f>Weather_Site!E128</f>
        <v>0</v>
      </c>
      <c r="D118">
        <f>Weather_Site!F128</f>
        <v>0</v>
      </c>
      <c r="E118">
        <f>Weather_Site!G128</f>
        <v>0</v>
      </c>
      <c r="F118">
        <f>'Forest(McArthur)'!M125</f>
        <v>0</v>
      </c>
      <c r="G118">
        <f>Grass!$C$4</f>
        <v>85</v>
      </c>
      <c r="H118">
        <v>0</v>
      </c>
    </row>
    <row r="119" spans="1:8" x14ac:dyDescent="0.25">
      <c r="A119" s="230">
        <f>Weather_Site!B129+Weather_Site!C129</f>
        <v>0</v>
      </c>
      <c r="B119">
        <f>Weather_Site!D129</f>
        <v>0</v>
      </c>
      <c r="C119">
        <f>Weather_Site!E129</f>
        <v>0</v>
      </c>
      <c r="D119">
        <f>Weather_Site!F129</f>
        <v>0</v>
      </c>
      <c r="E119">
        <f>Weather_Site!G129</f>
        <v>0</v>
      </c>
      <c r="F119">
        <f>'Forest(McArthur)'!M126</f>
        <v>0</v>
      </c>
      <c r="G119">
        <f>Grass!$C$4</f>
        <v>85</v>
      </c>
      <c r="H119">
        <v>0</v>
      </c>
    </row>
    <row r="120" spans="1:8" x14ac:dyDescent="0.25">
      <c r="A120" s="230">
        <f>Weather_Site!B130+Weather_Site!C130</f>
        <v>0</v>
      </c>
      <c r="B120">
        <f>Weather_Site!D130</f>
        <v>0</v>
      </c>
      <c r="C120">
        <f>Weather_Site!E130</f>
        <v>0</v>
      </c>
      <c r="D120">
        <f>Weather_Site!F130</f>
        <v>0</v>
      </c>
      <c r="E120">
        <f>Weather_Site!G130</f>
        <v>0</v>
      </c>
      <c r="F120">
        <f>'Forest(McArthur)'!M127</f>
        <v>0</v>
      </c>
      <c r="G120">
        <f>Grass!$C$4</f>
        <v>85</v>
      </c>
      <c r="H120">
        <v>0</v>
      </c>
    </row>
    <row r="121" spans="1:8" x14ac:dyDescent="0.25">
      <c r="A121" s="230">
        <f>Weather_Site!B131+Weather_Site!C131</f>
        <v>0</v>
      </c>
      <c r="B121">
        <f>Weather_Site!D131</f>
        <v>0</v>
      </c>
      <c r="C121">
        <f>Weather_Site!E131</f>
        <v>0</v>
      </c>
      <c r="D121">
        <f>Weather_Site!F131</f>
        <v>0</v>
      </c>
      <c r="E121">
        <f>Weather_Site!G131</f>
        <v>0</v>
      </c>
      <c r="F121">
        <f>'Forest(McArthur)'!M128</f>
        <v>0</v>
      </c>
      <c r="G121">
        <f>Grass!$C$4</f>
        <v>85</v>
      </c>
      <c r="H121">
        <v>0</v>
      </c>
    </row>
    <row r="122" spans="1:8" x14ac:dyDescent="0.25">
      <c r="A122" s="230">
        <f>Weather_Site!B132+Weather_Site!C132</f>
        <v>0</v>
      </c>
      <c r="B122">
        <f>Weather_Site!D132</f>
        <v>0</v>
      </c>
      <c r="C122">
        <f>Weather_Site!E132</f>
        <v>0</v>
      </c>
      <c r="D122">
        <f>Weather_Site!F132</f>
        <v>0</v>
      </c>
      <c r="E122">
        <f>Weather_Site!G132</f>
        <v>0</v>
      </c>
      <c r="F122">
        <f>'Forest(McArthur)'!M129</f>
        <v>0</v>
      </c>
      <c r="G122">
        <f>Grass!$C$4</f>
        <v>85</v>
      </c>
      <c r="H122">
        <v>0</v>
      </c>
    </row>
    <row r="123" spans="1:8" x14ac:dyDescent="0.25">
      <c r="A123" s="230">
        <f>Weather_Site!B133+Weather_Site!C133</f>
        <v>0</v>
      </c>
      <c r="B123">
        <f>Weather_Site!D133</f>
        <v>0</v>
      </c>
      <c r="C123">
        <f>Weather_Site!E133</f>
        <v>0</v>
      </c>
      <c r="D123">
        <f>Weather_Site!F133</f>
        <v>0</v>
      </c>
      <c r="E123">
        <f>Weather_Site!G133</f>
        <v>0</v>
      </c>
      <c r="F123">
        <f>'Forest(McArthur)'!M130</f>
        <v>0</v>
      </c>
      <c r="G123">
        <f>Grass!$C$4</f>
        <v>85</v>
      </c>
      <c r="H123">
        <v>0</v>
      </c>
    </row>
    <row r="124" spans="1:8" x14ac:dyDescent="0.25">
      <c r="A124" s="230">
        <f>Weather_Site!B134+Weather_Site!C134</f>
        <v>0</v>
      </c>
      <c r="B124">
        <f>Weather_Site!D134</f>
        <v>0</v>
      </c>
      <c r="C124">
        <f>Weather_Site!E134</f>
        <v>0</v>
      </c>
      <c r="D124">
        <f>Weather_Site!F134</f>
        <v>0</v>
      </c>
      <c r="E124">
        <f>Weather_Site!G134</f>
        <v>0</v>
      </c>
      <c r="F124">
        <f>'Forest(McArthur)'!M131</f>
        <v>0</v>
      </c>
      <c r="G124">
        <f>Grass!$C$4</f>
        <v>85</v>
      </c>
      <c r="H124">
        <v>0</v>
      </c>
    </row>
    <row r="125" spans="1:8" x14ac:dyDescent="0.25">
      <c r="A125" s="230">
        <f>Weather_Site!B135+Weather_Site!C135</f>
        <v>0</v>
      </c>
      <c r="B125">
        <f>Weather_Site!D135</f>
        <v>0</v>
      </c>
      <c r="C125">
        <f>Weather_Site!E135</f>
        <v>0</v>
      </c>
      <c r="D125">
        <f>Weather_Site!F135</f>
        <v>0</v>
      </c>
      <c r="E125">
        <f>Weather_Site!G135</f>
        <v>0</v>
      </c>
      <c r="F125">
        <f>'Forest(McArthur)'!M132</f>
        <v>0</v>
      </c>
      <c r="G125">
        <f>Grass!$C$4</f>
        <v>85</v>
      </c>
      <c r="H125">
        <v>0</v>
      </c>
    </row>
    <row r="126" spans="1:8" x14ac:dyDescent="0.25">
      <c r="A126" s="230">
        <f>Weather_Site!B136+Weather_Site!C136</f>
        <v>0</v>
      </c>
      <c r="B126">
        <f>Weather_Site!D136</f>
        <v>0</v>
      </c>
      <c r="C126">
        <f>Weather_Site!E136</f>
        <v>0</v>
      </c>
      <c r="D126">
        <f>Weather_Site!F136</f>
        <v>0</v>
      </c>
      <c r="E126">
        <f>Weather_Site!G136</f>
        <v>0</v>
      </c>
      <c r="F126">
        <f>'Forest(McArthur)'!M133</f>
        <v>0</v>
      </c>
      <c r="G126">
        <f>Grass!$C$4</f>
        <v>85</v>
      </c>
      <c r="H126">
        <v>0</v>
      </c>
    </row>
    <row r="127" spans="1:8" x14ac:dyDescent="0.25">
      <c r="A127" s="230">
        <f>Weather_Site!B137+Weather_Site!C137</f>
        <v>0</v>
      </c>
      <c r="B127">
        <f>Weather_Site!D137</f>
        <v>0</v>
      </c>
      <c r="C127">
        <f>Weather_Site!E137</f>
        <v>0</v>
      </c>
      <c r="D127">
        <f>Weather_Site!F137</f>
        <v>0</v>
      </c>
      <c r="E127">
        <f>Weather_Site!G137</f>
        <v>0</v>
      </c>
      <c r="F127">
        <f>'Forest(McArthur)'!M134</f>
        <v>0</v>
      </c>
      <c r="G127">
        <f>Grass!$C$4</f>
        <v>85</v>
      </c>
      <c r="H127">
        <v>0</v>
      </c>
    </row>
    <row r="128" spans="1:8" x14ac:dyDescent="0.25">
      <c r="A128" s="230">
        <f>Weather_Site!B138+Weather_Site!C138</f>
        <v>0</v>
      </c>
      <c r="B128">
        <f>Weather_Site!D138</f>
        <v>0</v>
      </c>
      <c r="C128">
        <f>Weather_Site!E138</f>
        <v>0</v>
      </c>
      <c r="D128">
        <f>Weather_Site!F138</f>
        <v>0</v>
      </c>
      <c r="E128">
        <f>Weather_Site!G138</f>
        <v>0</v>
      </c>
      <c r="F128">
        <f>'Forest(McArthur)'!M135</f>
        <v>0</v>
      </c>
      <c r="G128">
        <f>Grass!$C$4</f>
        <v>85</v>
      </c>
      <c r="H128">
        <v>0</v>
      </c>
    </row>
    <row r="129" spans="1:8" x14ac:dyDescent="0.25">
      <c r="A129" s="230">
        <f>Weather_Site!B139+Weather_Site!C139</f>
        <v>0</v>
      </c>
      <c r="B129">
        <f>Weather_Site!D139</f>
        <v>0</v>
      </c>
      <c r="C129">
        <f>Weather_Site!E139</f>
        <v>0</v>
      </c>
      <c r="D129">
        <f>Weather_Site!F139</f>
        <v>0</v>
      </c>
      <c r="E129">
        <f>Weather_Site!G139</f>
        <v>0</v>
      </c>
      <c r="F129">
        <f>'Forest(McArthur)'!M136</f>
        <v>0</v>
      </c>
      <c r="G129">
        <f>Grass!$C$4</f>
        <v>85</v>
      </c>
      <c r="H129">
        <v>0</v>
      </c>
    </row>
    <row r="130" spans="1:8" x14ac:dyDescent="0.25">
      <c r="A130" s="230">
        <f>Weather_Site!B140+Weather_Site!C140</f>
        <v>0</v>
      </c>
      <c r="B130">
        <f>Weather_Site!D140</f>
        <v>0</v>
      </c>
      <c r="C130">
        <f>Weather_Site!E140</f>
        <v>0</v>
      </c>
      <c r="D130">
        <f>Weather_Site!F140</f>
        <v>0</v>
      </c>
      <c r="E130">
        <f>Weather_Site!G140</f>
        <v>0</v>
      </c>
      <c r="F130">
        <f>'Forest(McArthur)'!M137</f>
        <v>0</v>
      </c>
      <c r="G130">
        <f>Grass!$C$4</f>
        <v>85</v>
      </c>
      <c r="H130">
        <v>0</v>
      </c>
    </row>
    <row r="131" spans="1:8" x14ac:dyDescent="0.25">
      <c r="A131" s="230">
        <f>Weather_Site!B141+Weather_Site!C141</f>
        <v>0</v>
      </c>
      <c r="B131">
        <f>Weather_Site!D141</f>
        <v>0</v>
      </c>
      <c r="C131">
        <f>Weather_Site!E141</f>
        <v>0</v>
      </c>
      <c r="D131">
        <f>Weather_Site!F141</f>
        <v>0</v>
      </c>
      <c r="E131">
        <f>Weather_Site!G141</f>
        <v>0</v>
      </c>
      <c r="F131">
        <f>'Forest(McArthur)'!M138</f>
        <v>0</v>
      </c>
      <c r="G131">
        <f>Grass!$C$4</f>
        <v>85</v>
      </c>
      <c r="H131">
        <v>0</v>
      </c>
    </row>
    <row r="132" spans="1:8" x14ac:dyDescent="0.25">
      <c r="A132" s="230">
        <f>Weather_Site!B142+Weather_Site!C142</f>
        <v>0</v>
      </c>
      <c r="B132">
        <f>Weather_Site!D142</f>
        <v>0</v>
      </c>
      <c r="C132">
        <f>Weather_Site!E142</f>
        <v>0</v>
      </c>
      <c r="D132">
        <f>Weather_Site!F142</f>
        <v>0</v>
      </c>
      <c r="E132">
        <f>Weather_Site!G142</f>
        <v>0</v>
      </c>
      <c r="F132">
        <f>'Forest(McArthur)'!M139</f>
        <v>0</v>
      </c>
      <c r="G132">
        <f>Grass!$C$4</f>
        <v>85</v>
      </c>
      <c r="H132">
        <v>0</v>
      </c>
    </row>
    <row r="133" spans="1:8" x14ac:dyDescent="0.25">
      <c r="A133" s="230">
        <f>Weather_Site!B143+Weather_Site!C143</f>
        <v>0</v>
      </c>
      <c r="B133">
        <f>Weather_Site!D143</f>
        <v>0</v>
      </c>
      <c r="C133">
        <f>Weather_Site!E143</f>
        <v>0</v>
      </c>
      <c r="D133">
        <f>Weather_Site!F143</f>
        <v>0</v>
      </c>
      <c r="E133">
        <f>Weather_Site!G143</f>
        <v>0</v>
      </c>
      <c r="F133">
        <f>'Forest(McArthur)'!M140</f>
        <v>0</v>
      </c>
      <c r="G133">
        <f>Grass!$C$4</f>
        <v>85</v>
      </c>
      <c r="H133">
        <v>0</v>
      </c>
    </row>
    <row r="134" spans="1:8" x14ac:dyDescent="0.25">
      <c r="A134" s="230">
        <f>Weather_Site!B144+Weather_Site!C144</f>
        <v>0</v>
      </c>
      <c r="B134">
        <f>Weather_Site!D144</f>
        <v>0</v>
      </c>
      <c r="C134">
        <f>Weather_Site!E144</f>
        <v>0</v>
      </c>
      <c r="D134">
        <f>Weather_Site!F144</f>
        <v>0</v>
      </c>
      <c r="E134">
        <f>Weather_Site!G144</f>
        <v>0</v>
      </c>
      <c r="F134">
        <f>'Forest(McArthur)'!M141</f>
        <v>0</v>
      </c>
      <c r="G134">
        <f>Grass!$C$4</f>
        <v>85</v>
      </c>
      <c r="H134">
        <v>0</v>
      </c>
    </row>
    <row r="135" spans="1:8" x14ac:dyDescent="0.25">
      <c r="A135" s="230">
        <f>Weather_Site!B145+Weather_Site!C145</f>
        <v>0</v>
      </c>
      <c r="B135">
        <f>Weather_Site!D145</f>
        <v>0</v>
      </c>
      <c r="C135">
        <f>Weather_Site!E145</f>
        <v>0</v>
      </c>
      <c r="D135">
        <f>Weather_Site!F145</f>
        <v>0</v>
      </c>
      <c r="E135">
        <f>Weather_Site!G145</f>
        <v>0</v>
      </c>
      <c r="F135">
        <f>'Forest(McArthur)'!M142</f>
        <v>0</v>
      </c>
      <c r="G135">
        <f>Grass!$C$4</f>
        <v>85</v>
      </c>
      <c r="H135">
        <v>0</v>
      </c>
    </row>
    <row r="136" spans="1:8" x14ac:dyDescent="0.25">
      <c r="A136" s="230">
        <f>Weather_Site!B146+Weather_Site!C146</f>
        <v>0</v>
      </c>
      <c r="B136">
        <f>Weather_Site!D146</f>
        <v>0</v>
      </c>
      <c r="C136">
        <f>Weather_Site!E146</f>
        <v>0</v>
      </c>
      <c r="D136">
        <f>Weather_Site!F146</f>
        <v>0</v>
      </c>
      <c r="E136">
        <f>Weather_Site!G146</f>
        <v>0</v>
      </c>
      <c r="F136">
        <f>'Forest(McArthur)'!M143</f>
        <v>0</v>
      </c>
      <c r="G136">
        <f>Grass!$C$4</f>
        <v>85</v>
      </c>
      <c r="H136">
        <v>0</v>
      </c>
    </row>
    <row r="137" spans="1:8" x14ac:dyDescent="0.25">
      <c r="A137" s="230">
        <f>Weather_Site!B147+Weather_Site!C147</f>
        <v>0</v>
      </c>
      <c r="B137">
        <f>Weather_Site!D147</f>
        <v>0</v>
      </c>
      <c r="C137">
        <f>Weather_Site!E147</f>
        <v>0</v>
      </c>
      <c r="D137">
        <f>Weather_Site!F147</f>
        <v>0</v>
      </c>
      <c r="E137">
        <f>Weather_Site!G147</f>
        <v>0</v>
      </c>
      <c r="F137">
        <f>'Forest(McArthur)'!M144</f>
        <v>0</v>
      </c>
      <c r="G137">
        <f>Grass!$C$4</f>
        <v>85</v>
      </c>
      <c r="H137">
        <v>0</v>
      </c>
    </row>
    <row r="138" spans="1:8" x14ac:dyDescent="0.25">
      <c r="A138" s="230">
        <f>Weather_Site!B148+Weather_Site!C148</f>
        <v>0</v>
      </c>
      <c r="B138">
        <f>Weather_Site!D148</f>
        <v>0</v>
      </c>
      <c r="C138">
        <f>Weather_Site!E148</f>
        <v>0</v>
      </c>
      <c r="D138">
        <f>Weather_Site!F148</f>
        <v>0</v>
      </c>
      <c r="E138">
        <f>Weather_Site!G148</f>
        <v>0</v>
      </c>
      <c r="F138">
        <f>'Forest(McArthur)'!M145</f>
        <v>0</v>
      </c>
      <c r="G138">
        <f>Grass!$C$4</f>
        <v>85</v>
      </c>
      <c r="H138">
        <v>0</v>
      </c>
    </row>
    <row r="139" spans="1:8" x14ac:dyDescent="0.25">
      <c r="A139" s="230">
        <f>Weather_Site!B149+Weather_Site!C149</f>
        <v>0</v>
      </c>
      <c r="B139">
        <f>Weather_Site!D149</f>
        <v>0</v>
      </c>
      <c r="C139">
        <f>Weather_Site!E149</f>
        <v>0</v>
      </c>
      <c r="D139">
        <f>Weather_Site!F149</f>
        <v>0</v>
      </c>
      <c r="E139">
        <f>Weather_Site!G149</f>
        <v>0</v>
      </c>
      <c r="F139">
        <f>'Forest(McArthur)'!M146</f>
        <v>0</v>
      </c>
      <c r="G139">
        <f>Grass!$C$4</f>
        <v>85</v>
      </c>
      <c r="H139">
        <v>0</v>
      </c>
    </row>
    <row r="140" spans="1:8" x14ac:dyDescent="0.25">
      <c r="A140" s="230">
        <f>Weather_Site!B150+Weather_Site!C150</f>
        <v>0</v>
      </c>
      <c r="B140">
        <f>Weather_Site!D150</f>
        <v>0</v>
      </c>
      <c r="C140">
        <f>Weather_Site!E150</f>
        <v>0</v>
      </c>
      <c r="D140">
        <f>Weather_Site!F150</f>
        <v>0</v>
      </c>
      <c r="E140">
        <f>Weather_Site!G150</f>
        <v>0</v>
      </c>
      <c r="F140">
        <f>'Forest(McArthur)'!M147</f>
        <v>0</v>
      </c>
      <c r="G140">
        <f>Grass!$C$4</f>
        <v>85</v>
      </c>
      <c r="H140">
        <v>0</v>
      </c>
    </row>
    <row r="141" spans="1:8" x14ac:dyDescent="0.25">
      <c r="A141" s="230">
        <f>Weather_Site!B151+Weather_Site!C151</f>
        <v>0</v>
      </c>
      <c r="B141">
        <f>Weather_Site!D151</f>
        <v>0</v>
      </c>
      <c r="C141">
        <f>Weather_Site!E151</f>
        <v>0</v>
      </c>
      <c r="D141">
        <f>Weather_Site!F151</f>
        <v>0</v>
      </c>
      <c r="E141">
        <f>Weather_Site!G151</f>
        <v>0</v>
      </c>
      <c r="F141">
        <f>'Forest(McArthur)'!M148</f>
        <v>0</v>
      </c>
      <c r="G141">
        <f>Grass!$C$4</f>
        <v>85</v>
      </c>
      <c r="H141">
        <v>0</v>
      </c>
    </row>
    <row r="142" spans="1:8" x14ac:dyDescent="0.25">
      <c r="A142" s="230">
        <f>Weather_Site!B152+Weather_Site!C152</f>
        <v>0</v>
      </c>
      <c r="B142">
        <f>Weather_Site!D152</f>
        <v>0</v>
      </c>
      <c r="C142">
        <f>Weather_Site!E152</f>
        <v>0</v>
      </c>
      <c r="D142">
        <f>Weather_Site!F152</f>
        <v>0</v>
      </c>
      <c r="E142">
        <f>Weather_Site!G152</f>
        <v>0</v>
      </c>
      <c r="F142">
        <f>'Forest(McArthur)'!M149</f>
        <v>0</v>
      </c>
      <c r="G142">
        <f>Grass!$C$4</f>
        <v>85</v>
      </c>
      <c r="H142">
        <v>0</v>
      </c>
    </row>
    <row r="143" spans="1:8" x14ac:dyDescent="0.25">
      <c r="A143" s="230">
        <f>Weather_Site!B153+Weather_Site!C153</f>
        <v>0</v>
      </c>
      <c r="B143">
        <f>Weather_Site!D153</f>
        <v>0</v>
      </c>
      <c r="C143">
        <f>Weather_Site!E153</f>
        <v>0</v>
      </c>
      <c r="D143">
        <f>Weather_Site!F153</f>
        <v>0</v>
      </c>
      <c r="E143">
        <f>Weather_Site!G153</f>
        <v>0</v>
      </c>
      <c r="F143">
        <f>'Forest(McArthur)'!M150</f>
        <v>0</v>
      </c>
      <c r="G143">
        <f>Grass!$C$4</f>
        <v>85</v>
      </c>
      <c r="H143">
        <v>0</v>
      </c>
    </row>
    <row r="144" spans="1:8" x14ac:dyDescent="0.25">
      <c r="A144" s="230">
        <f>Weather_Site!B154+Weather_Site!C154</f>
        <v>0</v>
      </c>
      <c r="B144">
        <f>Weather_Site!D154</f>
        <v>0</v>
      </c>
      <c r="C144">
        <f>Weather_Site!E154</f>
        <v>0</v>
      </c>
      <c r="D144">
        <f>Weather_Site!F154</f>
        <v>0</v>
      </c>
      <c r="E144">
        <f>Weather_Site!G154</f>
        <v>0</v>
      </c>
      <c r="F144">
        <f>'Forest(McArthur)'!M151</f>
        <v>0</v>
      </c>
      <c r="G144">
        <f>Grass!$C$4</f>
        <v>85</v>
      </c>
      <c r="H144">
        <v>0</v>
      </c>
    </row>
    <row r="145" spans="1:8" x14ac:dyDescent="0.25">
      <c r="A145" s="230">
        <f>Weather_Site!B155+Weather_Site!C155</f>
        <v>0</v>
      </c>
      <c r="B145">
        <f>Weather_Site!D155</f>
        <v>0</v>
      </c>
      <c r="C145">
        <f>Weather_Site!E155</f>
        <v>0</v>
      </c>
      <c r="D145">
        <f>Weather_Site!F155</f>
        <v>0</v>
      </c>
      <c r="E145">
        <f>Weather_Site!G155</f>
        <v>0</v>
      </c>
      <c r="F145">
        <f>'Forest(McArthur)'!M152</f>
        <v>0</v>
      </c>
      <c r="G145">
        <f>Grass!$C$4</f>
        <v>85</v>
      </c>
      <c r="H145">
        <v>0</v>
      </c>
    </row>
    <row r="146" spans="1:8" x14ac:dyDescent="0.25">
      <c r="A146" s="230">
        <f>Weather_Site!B156+Weather_Site!C156</f>
        <v>0</v>
      </c>
      <c r="B146">
        <f>Weather_Site!D156</f>
        <v>0</v>
      </c>
      <c r="C146">
        <f>Weather_Site!E156</f>
        <v>0</v>
      </c>
      <c r="D146">
        <f>Weather_Site!F156</f>
        <v>0</v>
      </c>
      <c r="E146">
        <f>Weather_Site!G156</f>
        <v>0</v>
      </c>
      <c r="F146">
        <f>'Forest(McArthur)'!M153</f>
        <v>0</v>
      </c>
      <c r="G146">
        <f>Grass!$C$4</f>
        <v>85</v>
      </c>
      <c r="H146">
        <v>0</v>
      </c>
    </row>
    <row r="147" spans="1:8" x14ac:dyDescent="0.25">
      <c r="A147" s="230">
        <f>Weather_Site!B157+Weather_Site!C157</f>
        <v>0</v>
      </c>
      <c r="B147">
        <f>Weather_Site!D157</f>
        <v>0</v>
      </c>
      <c r="C147">
        <f>Weather_Site!E157</f>
        <v>0</v>
      </c>
      <c r="D147">
        <f>Weather_Site!F157</f>
        <v>0</v>
      </c>
      <c r="E147">
        <f>Weather_Site!G157</f>
        <v>0</v>
      </c>
      <c r="F147">
        <f>'Forest(McArthur)'!M154</f>
        <v>0</v>
      </c>
      <c r="G147">
        <f>Grass!$C$4</f>
        <v>85</v>
      </c>
      <c r="H147">
        <v>0</v>
      </c>
    </row>
    <row r="148" spans="1:8" x14ac:dyDescent="0.25">
      <c r="A148" s="230">
        <f>Weather_Site!B158+Weather_Site!C158</f>
        <v>0</v>
      </c>
      <c r="B148">
        <f>Weather_Site!D158</f>
        <v>0</v>
      </c>
      <c r="C148">
        <f>Weather_Site!E158</f>
        <v>0</v>
      </c>
      <c r="D148">
        <f>Weather_Site!F158</f>
        <v>0</v>
      </c>
      <c r="E148">
        <f>Weather_Site!G158</f>
        <v>0</v>
      </c>
      <c r="F148">
        <f>'Forest(McArthur)'!M155</f>
        <v>0</v>
      </c>
      <c r="G148">
        <f>Grass!$C$4</f>
        <v>85</v>
      </c>
      <c r="H148">
        <v>0</v>
      </c>
    </row>
    <row r="149" spans="1:8" x14ac:dyDescent="0.25">
      <c r="A149" s="230">
        <f>Weather_Site!B159+Weather_Site!C159</f>
        <v>0</v>
      </c>
      <c r="B149">
        <f>Weather_Site!D159</f>
        <v>0</v>
      </c>
      <c r="C149">
        <f>Weather_Site!E159</f>
        <v>0</v>
      </c>
      <c r="D149">
        <f>Weather_Site!F159</f>
        <v>0</v>
      </c>
      <c r="E149">
        <f>Weather_Site!G159</f>
        <v>0</v>
      </c>
      <c r="F149">
        <f>'Forest(McArthur)'!M156</f>
        <v>0</v>
      </c>
      <c r="G149">
        <f>Grass!$C$4</f>
        <v>85</v>
      </c>
      <c r="H149">
        <v>0</v>
      </c>
    </row>
    <row r="150" spans="1:8" x14ac:dyDescent="0.25">
      <c r="A150" s="230">
        <f>Weather_Site!B160+Weather_Site!C160</f>
        <v>0</v>
      </c>
      <c r="B150">
        <f>Weather_Site!D160</f>
        <v>0</v>
      </c>
      <c r="C150">
        <f>Weather_Site!E160</f>
        <v>0</v>
      </c>
      <c r="D150">
        <f>Weather_Site!F160</f>
        <v>0</v>
      </c>
      <c r="E150">
        <f>Weather_Site!G160</f>
        <v>0</v>
      </c>
      <c r="F150">
        <f>'Forest(McArthur)'!M157</f>
        <v>0</v>
      </c>
      <c r="G150">
        <f>Grass!$C$4</f>
        <v>85</v>
      </c>
      <c r="H150">
        <v>0</v>
      </c>
    </row>
    <row r="151" spans="1:8" x14ac:dyDescent="0.25">
      <c r="A151" s="230">
        <f>Weather_Site!B161+Weather_Site!C161</f>
        <v>0</v>
      </c>
      <c r="B151">
        <f>Weather_Site!D161</f>
        <v>0</v>
      </c>
      <c r="C151">
        <f>Weather_Site!E161</f>
        <v>0</v>
      </c>
      <c r="D151">
        <f>Weather_Site!F161</f>
        <v>0</v>
      </c>
      <c r="E151">
        <f>Weather_Site!G161</f>
        <v>0</v>
      </c>
      <c r="F151">
        <f>'Forest(McArthur)'!M158</f>
        <v>0</v>
      </c>
      <c r="G151">
        <f>Grass!$C$4</f>
        <v>85</v>
      </c>
      <c r="H151">
        <v>0</v>
      </c>
    </row>
    <row r="152" spans="1:8" x14ac:dyDescent="0.25">
      <c r="A152" s="230">
        <f>Weather_Site!B162+Weather_Site!C162</f>
        <v>0</v>
      </c>
      <c r="B152">
        <f>Weather_Site!D162</f>
        <v>0</v>
      </c>
      <c r="C152">
        <f>Weather_Site!E162</f>
        <v>0</v>
      </c>
      <c r="D152">
        <f>Weather_Site!F162</f>
        <v>0</v>
      </c>
      <c r="E152">
        <f>Weather_Site!G162</f>
        <v>0</v>
      </c>
      <c r="F152">
        <f>'Forest(McArthur)'!M159</f>
        <v>0</v>
      </c>
      <c r="G152">
        <f>Grass!$C$4</f>
        <v>85</v>
      </c>
      <c r="H152">
        <v>0</v>
      </c>
    </row>
    <row r="153" spans="1:8" x14ac:dyDescent="0.25">
      <c r="A153" s="230">
        <f>Weather_Site!B163+Weather_Site!C163</f>
        <v>0</v>
      </c>
      <c r="B153">
        <f>Weather_Site!D163</f>
        <v>0</v>
      </c>
      <c r="C153">
        <f>Weather_Site!E163</f>
        <v>0</v>
      </c>
      <c r="D153">
        <f>Weather_Site!F163</f>
        <v>0</v>
      </c>
      <c r="E153">
        <f>Weather_Site!G163</f>
        <v>0</v>
      </c>
      <c r="F153">
        <f>'Forest(McArthur)'!M160</f>
        <v>0</v>
      </c>
      <c r="G153">
        <f>Grass!$C$4</f>
        <v>85</v>
      </c>
      <c r="H153">
        <v>0</v>
      </c>
    </row>
    <row r="154" spans="1:8" x14ac:dyDescent="0.25">
      <c r="A154" s="230">
        <f>Weather_Site!B164+Weather_Site!C164</f>
        <v>0</v>
      </c>
      <c r="B154">
        <f>Weather_Site!D164</f>
        <v>0</v>
      </c>
      <c r="C154">
        <f>Weather_Site!E164</f>
        <v>0</v>
      </c>
      <c r="D154">
        <f>Weather_Site!F164</f>
        <v>0</v>
      </c>
      <c r="E154">
        <f>Weather_Site!G164</f>
        <v>0</v>
      </c>
      <c r="F154">
        <f>'Forest(McArthur)'!M161</f>
        <v>0</v>
      </c>
      <c r="G154">
        <f>Grass!$C$4</f>
        <v>85</v>
      </c>
      <c r="H154">
        <v>0</v>
      </c>
    </row>
    <row r="155" spans="1:8" x14ac:dyDescent="0.25">
      <c r="A155" s="230">
        <f>Weather_Site!B165+Weather_Site!C165</f>
        <v>0</v>
      </c>
      <c r="B155">
        <f>Weather_Site!D165</f>
        <v>0</v>
      </c>
      <c r="C155">
        <f>Weather_Site!E165</f>
        <v>0</v>
      </c>
      <c r="D155">
        <f>Weather_Site!F165</f>
        <v>0</v>
      </c>
      <c r="E155">
        <f>Weather_Site!G165</f>
        <v>0</v>
      </c>
      <c r="F155">
        <f>'Forest(McArthur)'!M162</f>
        <v>0</v>
      </c>
      <c r="G155">
        <f>Grass!$C$4</f>
        <v>85</v>
      </c>
      <c r="H155">
        <v>0</v>
      </c>
    </row>
    <row r="156" spans="1:8" x14ac:dyDescent="0.25">
      <c r="A156" s="230">
        <f>Weather_Site!B166+Weather_Site!C166</f>
        <v>0</v>
      </c>
      <c r="B156">
        <f>Weather_Site!D166</f>
        <v>0</v>
      </c>
      <c r="C156">
        <f>Weather_Site!E166</f>
        <v>0</v>
      </c>
      <c r="D156">
        <f>Weather_Site!F166</f>
        <v>0</v>
      </c>
      <c r="E156">
        <f>Weather_Site!G166</f>
        <v>0</v>
      </c>
      <c r="F156">
        <f>'Forest(McArthur)'!M163</f>
        <v>0</v>
      </c>
      <c r="G156">
        <f>Grass!$C$4</f>
        <v>85</v>
      </c>
      <c r="H156">
        <v>0</v>
      </c>
    </row>
    <row r="157" spans="1:8" x14ac:dyDescent="0.25">
      <c r="A157" s="230">
        <f>Weather_Site!B167+Weather_Site!C167</f>
        <v>0</v>
      </c>
      <c r="B157">
        <f>Weather_Site!D167</f>
        <v>0</v>
      </c>
      <c r="C157">
        <f>Weather_Site!E167</f>
        <v>0</v>
      </c>
      <c r="D157">
        <f>Weather_Site!F167</f>
        <v>0</v>
      </c>
      <c r="E157">
        <f>Weather_Site!G167</f>
        <v>0</v>
      </c>
      <c r="F157">
        <f>'Forest(McArthur)'!M164</f>
        <v>0</v>
      </c>
      <c r="G157">
        <f>Grass!$C$4</f>
        <v>85</v>
      </c>
      <c r="H157">
        <v>0</v>
      </c>
    </row>
    <row r="158" spans="1:8" x14ac:dyDescent="0.25">
      <c r="A158" s="230">
        <f>Weather_Site!B168+Weather_Site!C168</f>
        <v>0</v>
      </c>
      <c r="B158">
        <f>Weather_Site!D168</f>
        <v>0</v>
      </c>
      <c r="C158">
        <f>Weather_Site!E168</f>
        <v>0</v>
      </c>
      <c r="D158">
        <f>Weather_Site!F168</f>
        <v>0</v>
      </c>
      <c r="E158">
        <f>Weather_Site!G168</f>
        <v>0</v>
      </c>
      <c r="F158">
        <f>'Forest(McArthur)'!M165</f>
        <v>0</v>
      </c>
      <c r="G158">
        <f>Grass!$C$4</f>
        <v>85</v>
      </c>
      <c r="H158">
        <v>0</v>
      </c>
    </row>
    <row r="159" spans="1:8" x14ac:dyDescent="0.25">
      <c r="A159" s="230">
        <f>Weather_Site!B169+Weather_Site!C169</f>
        <v>0</v>
      </c>
      <c r="B159">
        <f>Weather_Site!D169</f>
        <v>0</v>
      </c>
      <c r="C159">
        <f>Weather_Site!E169</f>
        <v>0</v>
      </c>
      <c r="D159">
        <f>Weather_Site!F169</f>
        <v>0</v>
      </c>
      <c r="E159">
        <f>Weather_Site!G169</f>
        <v>0</v>
      </c>
      <c r="F159">
        <f>'Forest(McArthur)'!M166</f>
        <v>0</v>
      </c>
      <c r="G159">
        <f>Grass!$C$4</f>
        <v>85</v>
      </c>
      <c r="H159">
        <v>0</v>
      </c>
    </row>
    <row r="160" spans="1:8" x14ac:dyDescent="0.25">
      <c r="A160" s="230">
        <f>Weather_Site!B170+Weather_Site!C170</f>
        <v>0</v>
      </c>
      <c r="B160">
        <f>Weather_Site!D170</f>
        <v>0</v>
      </c>
      <c r="C160">
        <f>Weather_Site!E170</f>
        <v>0</v>
      </c>
      <c r="D160">
        <f>Weather_Site!F170</f>
        <v>0</v>
      </c>
      <c r="E160">
        <f>Weather_Site!G170</f>
        <v>0</v>
      </c>
      <c r="F160">
        <f>'Forest(McArthur)'!M167</f>
        <v>0</v>
      </c>
      <c r="G160">
        <f>Grass!$C$4</f>
        <v>85</v>
      </c>
      <c r="H160">
        <v>0</v>
      </c>
    </row>
    <row r="161" spans="1:8" x14ac:dyDescent="0.25">
      <c r="A161" s="230">
        <f>Weather_Site!B171+Weather_Site!C171</f>
        <v>0</v>
      </c>
      <c r="B161">
        <f>Weather_Site!D171</f>
        <v>0</v>
      </c>
      <c r="C161">
        <f>Weather_Site!E171</f>
        <v>0</v>
      </c>
      <c r="D161">
        <f>Weather_Site!F171</f>
        <v>0</v>
      </c>
      <c r="E161">
        <f>Weather_Site!G171</f>
        <v>0</v>
      </c>
      <c r="F161">
        <f>'Forest(McArthur)'!M168</f>
        <v>0</v>
      </c>
      <c r="G161">
        <f>Grass!$C$4</f>
        <v>85</v>
      </c>
      <c r="H161">
        <v>0</v>
      </c>
    </row>
    <row r="162" spans="1:8" x14ac:dyDescent="0.25">
      <c r="A162" s="230">
        <f>Weather_Site!B172+Weather_Site!C172</f>
        <v>0</v>
      </c>
      <c r="B162">
        <f>Weather_Site!D172</f>
        <v>0</v>
      </c>
      <c r="C162">
        <f>Weather_Site!E172</f>
        <v>0</v>
      </c>
      <c r="D162">
        <f>Weather_Site!F172</f>
        <v>0</v>
      </c>
      <c r="E162">
        <f>Weather_Site!G172</f>
        <v>0</v>
      </c>
      <c r="F162">
        <f>'Forest(McArthur)'!M169</f>
        <v>0</v>
      </c>
      <c r="G162">
        <f>Grass!$C$4</f>
        <v>85</v>
      </c>
      <c r="H162">
        <v>0</v>
      </c>
    </row>
    <row r="163" spans="1:8" x14ac:dyDescent="0.25">
      <c r="A163" s="230">
        <f>Weather_Site!B173+Weather_Site!C173</f>
        <v>0</v>
      </c>
      <c r="B163">
        <f>Weather_Site!D173</f>
        <v>0</v>
      </c>
      <c r="C163">
        <f>Weather_Site!E173</f>
        <v>0</v>
      </c>
      <c r="D163">
        <f>Weather_Site!F173</f>
        <v>0</v>
      </c>
      <c r="E163">
        <f>Weather_Site!G173</f>
        <v>0</v>
      </c>
      <c r="F163">
        <f>'Forest(McArthur)'!M170</f>
        <v>0</v>
      </c>
      <c r="G163">
        <f>Grass!$C$4</f>
        <v>85</v>
      </c>
      <c r="H163">
        <v>0</v>
      </c>
    </row>
    <row r="164" spans="1:8" x14ac:dyDescent="0.25">
      <c r="A164" s="230">
        <f>Weather_Site!B174+Weather_Site!C174</f>
        <v>0</v>
      </c>
      <c r="B164">
        <f>Weather_Site!D174</f>
        <v>0</v>
      </c>
      <c r="C164">
        <f>Weather_Site!E174</f>
        <v>0</v>
      </c>
      <c r="D164">
        <f>Weather_Site!F174</f>
        <v>0</v>
      </c>
      <c r="E164">
        <f>Weather_Site!G174</f>
        <v>0</v>
      </c>
      <c r="F164">
        <f>'Forest(McArthur)'!M171</f>
        <v>0</v>
      </c>
      <c r="G164">
        <f>Grass!$C$4</f>
        <v>85</v>
      </c>
      <c r="H164">
        <v>0</v>
      </c>
    </row>
    <row r="165" spans="1:8" x14ac:dyDescent="0.25">
      <c r="A165" s="230">
        <f>Weather_Site!B175+Weather_Site!C175</f>
        <v>0</v>
      </c>
      <c r="B165">
        <f>Weather_Site!D175</f>
        <v>0</v>
      </c>
      <c r="C165">
        <f>Weather_Site!E175</f>
        <v>0</v>
      </c>
      <c r="D165">
        <f>Weather_Site!F175</f>
        <v>0</v>
      </c>
      <c r="E165">
        <f>Weather_Site!G175</f>
        <v>0</v>
      </c>
      <c r="F165">
        <f>'Forest(McArthur)'!M172</f>
        <v>0</v>
      </c>
      <c r="G165">
        <f>Grass!$C$4</f>
        <v>85</v>
      </c>
      <c r="H165">
        <v>0</v>
      </c>
    </row>
    <row r="166" spans="1:8" x14ac:dyDescent="0.25">
      <c r="A166" s="230">
        <f>Weather_Site!B176+Weather_Site!C176</f>
        <v>0</v>
      </c>
      <c r="B166">
        <f>Weather_Site!D176</f>
        <v>0</v>
      </c>
      <c r="C166">
        <f>Weather_Site!E176</f>
        <v>0</v>
      </c>
      <c r="D166">
        <f>Weather_Site!F176</f>
        <v>0</v>
      </c>
      <c r="E166">
        <f>Weather_Site!G176</f>
        <v>0</v>
      </c>
      <c r="F166">
        <f>'Forest(McArthur)'!M173</f>
        <v>0</v>
      </c>
      <c r="G166">
        <f>Grass!$C$4</f>
        <v>85</v>
      </c>
      <c r="H166">
        <v>0</v>
      </c>
    </row>
    <row r="167" spans="1:8" x14ac:dyDescent="0.25">
      <c r="A167" s="230">
        <f>Weather_Site!B177+Weather_Site!C177</f>
        <v>0</v>
      </c>
      <c r="B167">
        <f>Weather_Site!D177</f>
        <v>0</v>
      </c>
      <c r="C167">
        <f>Weather_Site!E177</f>
        <v>0</v>
      </c>
      <c r="D167">
        <f>Weather_Site!F177</f>
        <v>0</v>
      </c>
      <c r="E167">
        <f>Weather_Site!G177</f>
        <v>0</v>
      </c>
      <c r="F167">
        <f>'Forest(McArthur)'!M174</f>
        <v>0</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2022-06-02T05:33:35Z</dcterms:modified>
</cp:coreProperties>
</file>